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L:\2022\22T14520 - Bastrop Loop 150 Corridor Plan\Planning\Funding Assistance\BCA\"/>
    </mc:Choice>
  </mc:AlternateContent>
  <xr:revisionPtr revIDLastSave="0" documentId="13_ncr:1_{79C16565-7E4D-4E9F-82DD-0F45F009D4AC}" xr6:coauthVersionLast="47" xr6:coauthVersionMax="47" xr10:uidLastSave="{00000000-0000-0000-0000-000000000000}"/>
  <bookViews>
    <workbookView xWindow="-19310" yWindow="-110" windowWidth="19420" windowHeight="10420" tabRatio="838" firstSheet="1" activeTab="1" xr2:uid="{01E5584C-44AC-44E4-94D0-75A395AE5485}"/>
  </bookViews>
  <sheets>
    <sheet name="General Inputs" sheetId="10" r:id="rId1"/>
    <sheet name="Results" sheetId="6" r:id="rId2"/>
    <sheet name="Accident Impacts (Calc3)" sheetId="9" r:id="rId3"/>
    <sheet name="Recreational Benefits" sheetId="17" r:id="rId4"/>
    <sheet name="Health Benefits" sheetId="18" r:id="rId5"/>
    <sheet name="Ped Facility Benefits" sheetId="20" r:id="rId6"/>
    <sheet name="CycFac Benefits" sheetId="21" r:id="rId7"/>
    <sheet name="Project Costs" sheetId="11" r:id="rId8"/>
    <sheet name="notes info" sheetId="4" r:id="rId9"/>
    <sheet name="CMF StarRated" sheetId="13" r:id="rId10"/>
    <sheet name="TDC PopProj" sheetId="14" r:id="rId11"/>
  </sheets>
  <definedNames>
    <definedName name="_xlnm._FilterDatabase" localSheetId="10" hidden="1">'TDC PopProj'!$A$1:$W$247</definedName>
    <definedName name="AccidentCost_Fatality">#REF!</definedName>
    <definedName name="AccidentCost_Injury">#REF!</definedName>
    <definedName name="AccidentCost_PDO">#REF!</definedName>
    <definedName name="Annualization_Factor">#REF!</definedName>
    <definedName name="AutoDetour">#REF!</definedName>
    <definedName name="Avg_Veh_Occ">#REF!</definedName>
    <definedName name="BaseYear">#REF!</definedName>
    <definedName name="BridgeLength">#REF!</definedName>
    <definedName name="CMF_WidenLane">#REF!</definedName>
    <definedName name="CrashRate_Bridge">#REF!</definedName>
    <definedName name="CrashRate_Detour">#REF!</definedName>
    <definedName name="DamagedVeh_PDOcrash">#REF!</definedName>
    <definedName name="DeflatorRate">#REF!</definedName>
    <definedName name="DetourLength">#REF!</definedName>
    <definedName name="EmissionCost_Auto1">#REF!</definedName>
    <definedName name="EmissionCost_Truck1">#REF!</definedName>
    <definedName name="NumberInjuryperCrash_Bridge">#REF!</definedName>
    <definedName name="OperatingCost_Passenger">#REF!</definedName>
    <definedName name="OperatingCost_Trucks">#REF!</definedName>
    <definedName name="PercentFatal_Bridge">#REF!</definedName>
    <definedName name="PercentFatal_Detour">#REF!</definedName>
    <definedName name="PercentInjury_Bridge">#REF!</definedName>
    <definedName name="PercentInjury_Detour">#REF!</definedName>
    <definedName name="PercentPDO_Bridge">#REF!</definedName>
    <definedName name="PercentPDO_Detour">#REF!</definedName>
    <definedName name="RouteTime">#REF!</definedName>
    <definedName name="ShareTruck">#REF!</definedName>
    <definedName name="timevalue_auto">#REF!</definedName>
    <definedName name="TimeValue_truck">#REF!</definedName>
    <definedName name="TruckDetou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6" i="18" l="1"/>
  <c r="K14" i="20"/>
  <c r="I22" i="17"/>
  <c r="O19" i="6"/>
  <c r="N18" i="6"/>
  <c r="AD21" i="21"/>
  <c r="AD20" i="21"/>
  <c r="AD19" i="21"/>
  <c r="AC21" i="21"/>
  <c r="AC20" i="21"/>
  <c r="AC19" i="21"/>
  <c r="AB19" i="21"/>
  <c r="AB21" i="21" s="1"/>
  <c r="AA19" i="21"/>
  <c r="AA21" i="21" s="1"/>
  <c r="Z21" i="21"/>
  <c r="Z20" i="21"/>
  <c r="Z19" i="21"/>
  <c r="Y21" i="21"/>
  <c r="Y20" i="21"/>
  <c r="Y19" i="21"/>
  <c r="X21" i="21"/>
  <c r="X20" i="21"/>
  <c r="X19" i="21"/>
  <c r="W21" i="21"/>
  <c r="W20" i="21"/>
  <c r="W19" i="21"/>
  <c r="V20" i="21"/>
  <c r="V19" i="21"/>
  <c r="V21" i="21" s="1"/>
  <c r="U19" i="21"/>
  <c r="U20" i="21" s="1"/>
  <c r="T19" i="21"/>
  <c r="T21" i="21" s="1"/>
  <c r="S20" i="21"/>
  <c r="S19" i="21"/>
  <c r="S21" i="21" s="1"/>
  <c r="R21" i="21"/>
  <c r="R20" i="21"/>
  <c r="R19" i="21"/>
  <c r="Q21" i="21"/>
  <c r="Q20" i="21"/>
  <c r="Q19" i="21"/>
  <c r="P21" i="21"/>
  <c r="P20" i="21"/>
  <c r="P19" i="21"/>
  <c r="O21" i="21"/>
  <c r="O19" i="21"/>
  <c r="O20" i="21" s="1"/>
  <c r="N21" i="21"/>
  <c r="N20" i="21"/>
  <c r="N19" i="21"/>
  <c r="M19" i="21"/>
  <c r="M21" i="21" s="1"/>
  <c r="L19" i="21"/>
  <c r="L21" i="21" s="1"/>
  <c r="K21" i="21"/>
  <c r="I12" i="18"/>
  <c r="I14" i="18"/>
  <c r="C12" i="20"/>
  <c r="AB12" i="20" s="1"/>
  <c r="AC12" i="20"/>
  <c r="J28" i="6"/>
  <c r="K28" i="6"/>
  <c r="L28" i="6"/>
  <c r="M28" i="6"/>
  <c r="N28" i="6"/>
  <c r="O28" i="6"/>
  <c r="P28" i="6"/>
  <c r="Q28" i="6"/>
  <c r="R28" i="6"/>
  <c r="S28" i="6"/>
  <c r="T28" i="6"/>
  <c r="U28" i="6"/>
  <c r="V28" i="6"/>
  <c r="W28" i="6"/>
  <c r="X28" i="6"/>
  <c r="Y28" i="6"/>
  <c r="Z28" i="6"/>
  <c r="AA28" i="6"/>
  <c r="AB28" i="6"/>
  <c r="AC28" i="6"/>
  <c r="J42" i="6"/>
  <c r="K42" i="6"/>
  <c r="L42" i="6"/>
  <c r="M42" i="6"/>
  <c r="N42" i="6"/>
  <c r="O42" i="6"/>
  <c r="P42" i="6"/>
  <c r="Q42" i="6"/>
  <c r="R42" i="6"/>
  <c r="S42" i="6"/>
  <c r="T42" i="6"/>
  <c r="U42" i="6"/>
  <c r="V42" i="6"/>
  <c r="W42" i="6"/>
  <c r="X42" i="6"/>
  <c r="Y42" i="6"/>
  <c r="Z42" i="6"/>
  <c r="AA42" i="6"/>
  <c r="AB42" i="6"/>
  <c r="AC42" i="6"/>
  <c r="J56" i="6"/>
  <c r="K56" i="6"/>
  <c r="L56" i="6"/>
  <c r="M56" i="6"/>
  <c r="N56" i="6"/>
  <c r="O56" i="6"/>
  <c r="P56" i="6"/>
  <c r="Q56" i="6"/>
  <c r="R56" i="6"/>
  <c r="S56" i="6"/>
  <c r="T56" i="6"/>
  <c r="U56" i="6"/>
  <c r="V56" i="6"/>
  <c r="W56" i="6"/>
  <c r="X56" i="6"/>
  <c r="Y56" i="6"/>
  <c r="Z56" i="6"/>
  <c r="AA56" i="6"/>
  <c r="AB56" i="6"/>
  <c r="AC56" i="6"/>
  <c r="C56" i="6"/>
  <c r="D56" i="6"/>
  <c r="E56" i="6"/>
  <c r="F56" i="6"/>
  <c r="G56" i="6"/>
  <c r="H56" i="6"/>
  <c r="I56" i="6"/>
  <c r="C57" i="6"/>
  <c r="D57" i="6"/>
  <c r="E57" i="6"/>
  <c r="F57" i="6"/>
  <c r="G57" i="6"/>
  <c r="H57" i="6"/>
  <c r="I57" i="6"/>
  <c r="C42" i="6"/>
  <c r="D42" i="6"/>
  <c r="E42" i="6"/>
  <c r="F42" i="6"/>
  <c r="G42" i="6"/>
  <c r="H42" i="6"/>
  <c r="I42" i="6"/>
  <c r="C43" i="6"/>
  <c r="D43" i="6"/>
  <c r="E43" i="6"/>
  <c r="F43" i="6"/>
  <c r="G43" i="6"/>
  <c r="H43" i="6"/>
  <c r="I43" i="6"/>
  <c r="C28" i="6"/>
  <c r="D28" i="6"/>
  <c r="E28" i="6"/>
  <c r="F28" i="6"/>
  <c r="G28" i="6"/>
  <c r="H28" i="6"/>
  <c r="I28" i="6"/>
  <c r="C29" i="6"/>
  <c r="D29" i="6"/>
  <c r="E29" i="6"/>
  <c r="F29" i="6"/>
  <c r="G29" i="6"/>
  <c r="H29" i="6"/>
  <c r="I29" i="6"/>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AD38" i="11"/>
  <c r="AD22" i="9"/>
  <c r="AC22" i="9"/>
  <c r="AB22" i="9"/>
  <c r="AA22" i="9"/>
  <c r="Z22" i="9"/>
  <c r="Y22" i="9"/>
  <c r="X22" i="9"/>
  <c r="W22" i="9"/>
  <c r="V22" i="9"/>
  <c r="U22" i="9"/>
  <c r="T22" i="9"/>
  <c r="S22" i="9"/>
  <c r="R22" i="9"/>
  <c r="Q22" i="9"/>
  <c r="P22" i="9"/>
  <c r="O22" i="9"/>
  <c r="N22" i="9"/>
  <c r="M22" i="9"/>
  <c r="L22" i="9"/>
  <c r="K22" i="9"/>
  <c r="D13" i="21"/>
  <c r="AB20" i="21" l="1"/>
  <c r="AA20" i="21"/>
  <c r="U21" i="21"/>
  <c r="T20" i="21"/>
  <c r="M20" i="21"/>
  <c r="L20" i="21"/>
  <c r="AD12" i="20"/>
  <c r="X12" i="20"/>
  <c r="Z12" i="20"/>
  <c r="AA12" i="20"/>
  <c r="B56" i="6"/>
  <c r="K12" i="20"/>
  <c r="S12" i="20"/>
  <c r="Q12" i="20"/>
  <c r="R12" i="20"/>
  <c r="L12" i="20"/>
  <c r="T12" i="20"/>
  <c r="Y12" i="20"/>
  <c r="M12" i="20"/>
  <c r="U12" i="20"/>
  <c r="V12" i="20"/>
  <c r="O12" i="20"/>
  <c r="W12" i="20"/>
  <c r="N12" i="20"/>
  <c r="P12" i="20"/>
  <c r="B28" i="6"/>
  <c r="B42" i="6"/>
  <c r="E13" i="21"/>
  <c r="F13" i="21" s="1"/>
  <c r="G13" i="21" s="1"/>
  <c r="H13" i="21" s="1"/>
  <c r="I13" i="21" s="1"/>
  <c r="J13" i="21" s="1"/>
  <c r="K13" i="21" s="1"/>
  <c r="L13" i="21" s="1"/>
  <c r="M13" i="21" s="1"/>
  <c r="N13" i="21" s="1"/>
  <c r="O13" i="21" s="1"/>
  <c r="P13" i="21" s="1"/>
  <c r="Q13" i="21" s="1"/>
  <c r="R13" i="21" s="1"/>
  <c r="S13" i="21" s="1"/>
  <c r="T13" i="21" s="1"/>
  <c r="U13" i="21" s="1"/>
  <c r="V13" i="21" s="1"/>
  <c r="W13" i="21" s="1"/>
  <c r="X13" i="21" s="1"/>
  <c r="Y13" i="21" s="1"/>
  <c r="Z13" i="21" s="1"/>
  <c r="AA13" i="21" s="1"/>
  <c r="AB13" i="21" s="1"/>
  <c r="AC13" i="21" s="1"/>
  <c r="AD13" i="21" s="1"/>
  <c r="F11" i="20"/>
  <c r="G11" i="20" s="1"/>
  <c r="H11" i="20" s="1"/>
  <c r="I11" i="20" s="1"/>
  <c r="J11" i="20" s="1"/>
  <c r="K11" i="20" s="1"/>
  <c r="L11" i="20" s="1"/>
  <c r="M11" i="20" s="1"/>
  <c r="N11" i="20" s="1"/>
  <c r="O11" i="20" s="1"/>
  <c r="P11" i="20" s="1"/>
  <c r="Q11" i="20" s="1"/>
  <c r="R11" i="20" s="1"/>
  <c r="S11" i="20" s="1"/>
  <c r="T11" i="20" s="1"/>
  <c r="U11" i="20" s="1"/>
  <c r="V11" i="20" s="1"/>
  <c r="W11" i="20" s="1"/>
  <c r="X11" i="20" s="1"/>
  <c r="Y11" i="20" s="1"/>
  <c r="Z11" i="20" s="1"/>
  <c r="AA11" i="20" s="1"/>
  <c r="AB11" i="20" s="1"/>
  <c r="AC11" i="20" s="1"/>
  <c r="AD11" i="20" s="1"/>
  <c r="E11" i="20"/>
  <c r="G10" i="17"/>
  <c r="H10" i="17" s="1"/>
  <c r="I10" i="17" s="1"/>
  <c r="J10" i="17" s="1"/>
  <c r="K10" i="17" s="1"/>
  <c r="L10" i="17" s="1"/>
  <c r="M10" i="17" s="1"/>
  <c r="N10" i="17" s="1"/>
  <c r="O10" i="17" s="1"/>
  <c r="P10" i="17" s="1"/>
  <c r="Q10" i="17" s="1"/>
  <c r="R10" i="17" s="1"/>
  <c r="S10" i="17" s="1"/>
  <c r="T10" i="17" s="1"/>
  <c r="U10" i="17" s="1"/>
  <c r="V10" i="17" s="1"/>
  <c r="W10" i="17" s="1"/>
  <c r="X10" i="17" s="1"/>
  <c r="Y10" i="17" s="1"/>
  <c r="Z10" i="17" s="1"/>
  <c r="AA10" i="17" s="1"/>
  <c r="AB10" i="17" s="1"/>
  <c r="F10" i="17"/>
  <c r="E10" i="17"/>
  <c r="D10" i="17"/>
  <c r="C10" i="17"/>
  <c r="J14" i="18"/>
  <c r="K14" i="18" s="1"/>
  <c r="L14" i="18" s="1"/>
  <c r="M14" i="18" s="1"/>
  <c r="N14" i="18" s="1"/>
  <c r="O14" i="18" s="1"/>
  <c r="P14" i="18" s="1"/>
  <c r="Q14" i="18" s="1"/>
  <c r="R14" i="18" s="1"/>
  <c r="S14" i="18" s="1"/>
  <c r="T14" i="18" s="1"/>
  <c r="U14" i="18" s="1"/>
  <c r="V14" i="18" s="1"/>
  <c r="W14" i="18" s="1"/>
  <c r="X14" i="18" s="1"/>
  <c r="Y14" i="18" s="1"/>
  <c r="Z14" i="18" s="1"/>
  <c r="AA14" i="18" s="1"/>
  <c r="AB14" i="18" s="1"/>
  <c r="J12" i="18"/>
  <c r="K12" i="18" s="1"/>
  <c r="L12" i="18" s="1"/>
  <c r="M12" i="18" s="1"/>
  <c r="N12" i="18" s="1"/>
  <c r="O12" i="18" s="1"/>
  <c r="P12" i="18" s="1"/>
  <c r="Q12" i="18" s="1"/>
  <c r="R12" i="18" s="1"/>
  <c r="S12" i="18" s="1"/>
  <c r="T12" i="18" s="1"/>
  <c r="U12" i="18" s="1"/>
  <c r="V12" i="18" s="1"/>
  <c r="W12" i="18" s="1"/>
  <c r="X12" i="18" s="1"/>
  <c r="Y12" i="18" s="1"/>
  <c r="Z12" i="18" s="1"/>
  <c r="AA12" i="18" s="1"/>
  <c r="AB12" i="18" s="1"/>
  <c r="D11" i="20"/>
  <c r="E8" i="9"/>
  <c r="F8" i="9" s="1"/>
  <c r="D10" i="9"/>
  <c r="D11" i="9"/>
  <c r="E11" i="9"/>
  <c r="E14" i="9"/>
  <c r="F14" i="9" s="1"/>
  <c r="G14" i="9" s="1"/>
  <c r="H14" i="9" s="1"/>
  <c r="I14" i="9" s="1"/>
  <c r="J14" i="9" s="1"/>
  <c r="K14" i="9" s="1"/>
  <c r="L14" i="9" s="1"/>
  <c r="M14" i="9" s="1"/>
  <c r="N14" i="9" s="1"/>
  <c r="O14" i="9" s="1"/>
  <c r="P14" i="9" s="1"/>
  <c r="Q14" i="9" s="1"/>
  <c r="R14" i="9" s="1"/>
  <c r="S14" i="9" s="1"/>
  <c r="T14" i="9" s="1"/>
  <c r="U14" i="9" s="1"/>
  <c r="V14" i="9" s="1"/>
  <c r="W14" i="9" s="1"/>
  <c r="X14" i="9" s="1"/>
  <c r="Y14" i="9" s="1"/>
  <c r="Z14" i="9" s="1"/>
  <c r="AA14" i="9" s="1"/>
  <c r="AB14" i="9" s="1"/>
  <c r="AC14" i="9" s="1"/>
  <c r="AD14" i="9" s="1"/>
  <c r="D18" i="9"/>
  <c r="E18" i="9"/>
  <c r="F18" i="9"/>
  <c r="G18" i="9"/>
  <c r="G27" i="9" s="1"/>
  <c r="H18" i="9"/>
  <c r="H27" i="9" s="1"/>
  <c r="I18" i="9"/>
  <c r="J18" i="9"/>
  <c r="K18" i="9"/>
  <c r="L18" i="9"/>
  <c r="M18" i="9"/>
  <c r="N18" i="9"/>
  <c r="O18" i="9"/>
  <c r="P18" i="9"/>
  <c r="Q18" i="9"/>
  <c r="R18" i="9"/>
  <c r="S18" i="9"/>
  <c r="T18" i="9"/>
  <c r="U18" i="9"/>
  <c r="V18" i="9"/>
  <c r="W18" i="9"/>
  <c r="X18" i="9"/>
  <c r="Y18" i="9"/>
  <c r="Z18" i="9"/>
  <c r="AA18" i="9"/>
  <c r="AB18" i="9"/>
  <c r="AC18" i="9"/>
  <c r="AD18" i="9"/>
  <c r="E20" i="9"/>
  <c r="F20" i="9"/>
  <c r="G20" i="9" s="1"/>
  <c r="H20" i="9" s="1"/>
  <c r="I20" i="9" s="1"/>
  <c r="J20" i="9" s="1"/>
  <c r="K20" i="9" s="1"/>
  <c r="L20" i="9" s="1"/>
  <c r="M20" i="9" s="1"/>
  <c r="N20" i="9" s="1"/>
  <c r="O20" i="9" s="1"/>
  <c r="P20" i="9" s="1"/>
  <c r="Q20" i="9" s="1"/>
  <c r="R20" i="9" s="1"/>
  <c r="S20" i="9" s="1"/>
  <c r="T20" i="9" s="1"/>
  <c r="U20" i="9" s="1"/>
  <c r="V20" i="9" s="1"/>
  <c r="W20" i="9" s="1"/>
  <c r="X20" i="9" s="1"/>
  <c r="Y20" i="9" s="1"/>
  <c r="Z20" i="9" s="1"/>
  <c r="AA20" i="9" s="1"/>
  <c r="AB20" i="9" s="1"/>
  <c r="AC20" i="9" s="1"/>
  <c r="AD20" i="9" s="1"/>
  <c r="D22" i="9"/>
  <c r="E22" i="9"/>
  <c r="E24" i="9" s="1"/>
  <c r="E27" i="9" s="1"/>
  <c r="F22" i="9"/>
  <c r="G22" i="9"/>
  <c r="H22" i="9"/>
  <c r="I22" i="9"/>
  <c r="J22" i="9"/>
  <c r="J24" i="9" s="1"/>
  <c r="J27" i="9" s="1"/>
  <c r="K24" i="9"/>
  <c r="K27" i="9" s="1"/>
  <c r="M24" i="9"/>
  <c r="M27" i="9" s="1"/>
  <c r="R24" i="9"/>
  <c r="R27" i="9" s="1"/>
  <c r="S24" i="9"/>
  <c r="S27" i="9" s="1"/>
  <c r="U24" i="9"/>
  <c r="U27" i="9" s="1"/>
  <c r="Z24" i="9"/>
  <c r="Z27" i="9" s="1"/>
  <c r="AA24" i="9"/>
  <c r="AA27" i="9" s="1"/>
  <c r="AC24" i="9"/>
  <c r="AC27" i="9" s="1"/>
  <c r="D24" i="9"/>
  <c r="F24" i="9"/>
  <c r="G24" i="9"/>
  <c r="H24" i="9"/>
  <c r="I24" i="9"/>
  <c r="I27" i="9" s="1"/>
  <c r="L24" i="9"/>
  <c r="N24" i="9"/>
  <c r="O24" i="9"/>
  <c r="P24" i="9"/>
  <c r="Q24" i="9"/>
  <c r="Q27" i="9" s="1"/>
  <c r="T24" i="9"/>
  <c r="V24" i="9"/>
  <c r="W24" i="9"/>
  <c r="X24" i="9"/>
  <c r="Y24" i="9"/>
  <c r="Y27" i="9" s="1"/>
  <c r="AB24" i="9"/>
  <c r="AB27" i="9" s="1"/>
  <c r="AD24" i="9"/>
  <c r="AD27" i="9" s="1"/>
  <c r="E26" i="9"/>
  <c r="F26" i="9"/>
  <c r="G26" i="9" s="1"/>
  <c r="H26" i="9" s="1"/>
  <c r="I26" i="9" s="1"/>
  <c r="J26" i="9" s="1"/>
  <c r="K26" i="9" s="1"/>
  <c r="L26" i="9" s="1"/>
  <c r="M26" i="9" s="1"/>
  <c r="N26" i="9" s="1"/>
  <c r="O26" i="9" s="1"/>
  <c r="P26" i="9" s="1"/>
  <c r="Q26" i="9" s="1"/>
  <c r="R26" i="9" s="1"/>
  <c r="S26" i="9" s="1"/>
  <c r="T26" i="9" s="1"/>
  <c r="U26" i="9" s="1"/>
  <c r="V26" i="9" s="1"/>
  <c r="W26" i="9" s="1"/>
  <c r="X26" i="9" s="1"/>
  <c r="Y26" i="9" s="1"/>
  <c r="Z26" i="9" s="1"/>
  <c r="AA26" i="9" s="1"/>
  <c r="AB26" i="9" s="1"/>
  <c r="AC26" i="9" s="1"/>
  <c r="AD26" i="9" s="1"/>
  <c r="D27" i="9"/>
  <c r="D28" i="9" s="1"/>
  <c r="F27" i="9"/>
  <c r="L27" i="9"/>
  <c r="N27" i="9"/>
  <c r="T27" i="9"/>
  <c r="V27" i="9"/>
  <c r="D29" i="9"/>
  <c r="X27" i="9" l="1"/>
  <c r="P27" i="9"/>
  <c r="W27" i="9"/>
  <c r="O27" i="9"/>
  <c r="L14" i="20"/>
  <c r="E29" i="9"/>
  <c r="G8" i="9"/>
  <c r="F10" i="9"/>
  <c r="F28" i="9" s="1"/>
  <c r="F11" i="9"/>
  <c r="F29" i="9" s="1"/>
  <c r="E10" i="9"/>
  <c r="E28" i="9" s="1"/>
  <c r="M14" i="20" l="1"/>
  <c r="G11" i="9"/>
  <c r="G29" i="9" s="1"/>
  <c r="H8" i="9"/>
  <c r="G10" i="9"/>
  <c r="G28" i="9" s="1"/>
  <c r="N14" i="20" l="1"/>
  <c r="H11" i="9"/>
  <c r="H29" i="9" s="1"/>
  <c r="H10" i="9"/>
  <c r="H28" i="9" s="1"/>
  <c r="I8" i="9"/>
  <c r="O14" i="20" l="1"/>
  <c r="I11" i="9"/>
  <c r="I29" i="9" s="1"/>
  <c r="J8" i="9"/>
  <c r="I10" i="9"/>
  <c r="I28" i="9" s="1"/>
  <c r="P14" i="20" l="1"/>
  <c r="J10" i="9"/>
  <c r="J28" i="9" s="1"/>
  <c r="K8" i="9"/>
  <c r="J11" i="9"/>
  <c r="J29" i="9" s="1"/>
  <c r="Q14" i="20" l="1"/>
  <c r="K10" i="9"/>
  <c r="K28" i="9" s="1"/>
  <c r="K11" i="9"/>
  <c r="K29" i="9" s="1"/>
  <c r="L8" i="9"/>
  <c r="R14" i="20" l="1"/>
  <c r="M8" i="9"/>
  <c r="L10" i="9"/>
  <c r="L28" i="9" s="1"/>
  <c r="L11" i="9"/>
  <c r="L29" i="9" s="1"/>
  <c r="S14" i="20" l="1"/>
  <c r="N8" i="9"/>
  <c r="M11" i="9"/>
  <c r="M29" i="9" s="1"/>
  <c r="M10" i="9"/>
  <c r="M28" i="9" s="1"/>
  <c r="T14" i="20" l="1"/>
  <c r="O8" i="9"/>
  <c r="N10" i="9"/>
  <c r="N28" i="9" s="1"/>
  <c r="N11" i="9"/>
  <c r="N29" i="9" s="1"/>
  <c r="U14" i="20" l="1"/>
  <c r="O11" i="9"/>
  <c r="O29" i="9" s="1"/>
  <c r="P8" i="9"/>
  <c r="O10" i="9"/>
  <c r="O28" i="9" s="1"/>
  <c r="V14" i="20" l="1"/>
  <c r="P11" i="9"/>
  <c r="P29" i="9" s="1"/>
  <c r="Q8" i="9"/>
  <c r="P10" i="9"/>
  <c r="P28" i="9" s="1"/>
  <c r="W14" i="20" l="1"/>
  <c r="Q11" i="9"/>
  <c r="Q29" i="9" s="1"/>
  <c r="R8" i="9"/>
  <c r="Q10" i="9"/>
  <c r="Q28" i="9" s="1"/>
  <c r="X14" i="20" l="1"/>
  <c r="R10" i="9"/>
  <c r="R28" i="9" s="1"/>
  <c r="R11" i="9"/>
  <c r="R29" i="9" s="1"/>
  <c r="S8" i="9"/>
  <c r="Y14" i="20" l="1"/>
  <c r="S10" i="9"/>
  <c r="S28" i="9" s="1"/>
  <c r="S11" i="9"/>
  <c r="S29" i="9" s="1"/>
  <c r="T8" i="9"/>
  <c r="Z14" i="20" l="1"/>
  <c r="U8" i="9"/>
  <c r="T10" i="9"/>
  <c r="T28" i="9" s="1"/>
  <c r="T11" i="9"/>
  <c r="T29" i="9" s="1"/>
  <c r="AA14" i="20" l="1"/>
  <c r="U11" i="9"/>
  <c r="U29" i="9" s="1"/>
  <c r="V8" i="9"/>
  <c r="U10" i="9"/>
  <c r="U28" i="9" s="1"/>
  <c r="AB14" i="20" l="1"/>
  <c r="W8" i="9"/>
  <c r="V10" i="9"/>
  <c r="V28" i="9" s="1"/>
  <c r="V11" i="9"/>
  <c r="V29" i="9" s="1"/>
  <c r="AD14" i="20" l="1"/>
  <c r="AC14" i="20"/>
  <c r="W11" i="9"/>
  <c r="W29" i="9" s="1"/>
  <c r="X8" i="9"/>
  <c r="W10" i="9"/>
  <c r="W28" i="9" s="1"/>
  <c r="X11" i="9" l="1"/>
  <c r="X29" i="9" s="1"/>
  <c r="X10" i="9"/>
  <c r="X28" i="9" s="1"/>
  <c r="Y8" i="9"/>
  <c r="Y11" i="9" l="1"/>
  <c r="Y29" i="9" s="1"/>
  <c r="Z8" i="9"/>
  <c r="Y10" i="9"/>
  <c r="Y28" i="9" s="1"/>
  <c r="Z10" i="9" l="1"/>
  <c r="Z28" i="9" s="1"/>
  <c r="Z11" i="9"/>
  <c r="Z29" i="9" s="1"/>
  <c r="AA8" i="9"/>
  <c r="AA10" i="9" l="1"/>
  <c r="AA28" i="9" s="1"/>
  <c r="AA11" i="9"/>
  <c r="AA29" i="9" s="1"/>
  <c r="AB8" i="9"/>
  <c r="AC8" i="9" l="1"/>
  <c r="AB10" i="9"/>
  <c r="AB28" i="9" s="1"/>
  <c r="AB11" i="9"/>
  <c r="AB29" i="9" s="1"/>
  <c r="AD8" i="9" l="1"/>
  <c r="AC10" i="9"/>
  <c r="AC28" i="9" s="1"/>
  <c r="AC11" i="9"/>
  <c r="AC29" i="9" s="1"/>
  <c r="AD10" i="9" l="1"/>
  <c r="AD28" i="9" s="1"/>
  <c r="AD11" i="9"/>
  <c r="AD29" i="9" s="1"/>
  <c r="Q23" i="4" l="1"/>
  <c r="M23" i="4"/>
  <c r="Y35" i="4" l="1"/>
  <c r="Y34" i="4"/>
  <c r="V26" i="4" s="1"/>
  <c r="G14" i="10"/>
  <c r="W25" i="4" l="1"/>
  <c r="W26" i="4"/>
  <c r="W27" i="4"/>
  <c r="W28" i="4"/>
  <c r="W29" i="4"/>
  <c r="W24" i="4"/>
  <c r="V24" i="4"/>
  <c r="V25" i="4"/>
  <c r="V27" i="4"/>
  <c r="V28" i="4"/>
  <c r="V29" i="4"/>
  <c r="J22" i="17"/>
  <c r="K22" i="17" s="1"/>
  <c r="L22" i="17" s="1"/>
  <c r="M22" i="17" s="1"/>
  <c r="N22" i="17" s="1"/>
  <c r="O22" i="17" s="1"/>
  <c r="P22" i="17" s="1"/>
  <c r="Q22" i="17" s="1"/>
  <c r="R22" i="17" s="1"/>
  <c r="S22" i="17" s="1"/>
  <c r="T22" i="17" s="1"/>
  <c r="U22" i="17" s="1"/>
  <c r="V22" i="17" s="1"/>
  <c r="W22" i="17" s="1"/>
  <c r="X22" i="17" s="1"/>
  <c r="Y22" i="17" s="1"/>
  <c r="Z22" i="17" s="1"/>
  <c r="AA22" i="17" s="1"/>
  <c r="AB22" i="17" s="1"/>
  <c r="E14" i="20"/>
  <c r="D14" i="20"/>
  <c r="D16" i="21"/>
  <c r="E18" i="21"/>
  <c r="F18" i="21" s="1"/>
  <c r="G18" i="21" s="1"/>
  <c r="H18" i="21" s="1"/>
  <c r="I18" i="21" s="1"/>
  <c r="J18" i="21" s="1"/>
  <c r="K18" i="21" s="1"/>
  <c r="L18" i="21" s="1"/>
  <c r="M18" i="21" s="1"/>
  <c r="N18" i="21" s="1"/>
  <c r="O18" i="21" s="1"/>
  <c r="P18" i="21" s="1"/>
  <c r="Q18" i="21" s="1"/>
  <c r="R18" i="21" s="1"/>
  <c r="S18" i="21" s="1"/>
  <c r="T18" i="21" s="1"/>
  <c r="U18" i="21" s="1"/>
  <c r="V18" i="21" s="1"/>
  <c r="W18" i="21" s="1"/>
  <c r="X18" i="21" s="1"/>
  <c r="Y18" i="21" s="1"/>
  <c r="Z18" i="21" s="1"/>
  <c r="AA18" i="21" s="1"/>
  <c r="AB18" i="21" s="1"/>
  <c r="AC18" i="21" s="1"/>
  <c r="AD18" i="21" s="1"/>
  <c r="E11" i="21"/>
  <c r="F11" i="21" s="1"/>
  <c r="G11" i="21" s="1"/>
  <c r="H11" i="21" s="1"/>
  <c r="I11" i="21" s="1"/>
  <c r="J11" i="21" s="1"/>
  <c r="K11" i="21" s="1"/>
  <c r="L11" i="21" s="1"/>
  <c r="M11" i="21" s="1"/>
  <c r="N11" i="21" s="1"/>
  <c r="O11" i="21" s="1"/>
  <c r="P11" i="21" s="1"/>
  <c r="Q11" i="21" s="1"/>
  <c r="R11" i="21" s="1"/>
  <c r="S11" i="21" s="1"/>
  <c r="T11" i="21" s="1"/>
  <c r="U11" i="21" s="1"/>
  <c r="V11" i="21" s="1"/>
  <c r="W11" i="21" s="1"/>
  <c r="X11" i="21" s="1"/>
  <c r="Y11" i="21" s="1"/>
  <c r="Z11" i="21" s="1"/>
  <c r="AA11" i="21" s="1"/>
  <c r="AB11" i="21" s="1"/>
  <c r="AC11" i="21" s="1"/>
  <c r="AD11" i="21" s="1"/>
  <c r="E16" i="20"/>
  <c r="F16" i="20" s="1"/>
  <c r="G16" i="20" s="1"/>
  <c r="H16" i="20" s="1"/>
  <c r="I16" i="20" s="1"/>
  <c r="J16" i="20" s="1"/>
  <c r="K16" i="20" s="1"/>
  <c r="L16" i="20" s="1"/>
  <c r="M16" i="20" s="1"/>
  <c r="N16" i="20" s="1"/>
  <c r="O16" i="20" s="1"/>
  <c r="P16" i="20" s="1"/>
  <c r="Q16" i="20" s="1"/>
  <c r="R16" i="20" s="1"/>
  <c r="S16" i="20" s="1"/>
  <c r="T16" i="20" s="1"/>
  <c r="U16" i="20" s="1"/>
  <c r="V16" i="20" s="1"/>
  <c r="W16" i="20" s="1"/>
  <c r="X16" i="20" s="1"/>
  <c r="Y16" i="20" s="1"/>
  <c r="Z16" i="20" s="1"/>
  <c r="AA16" i="20" s="1"/>
  <c r="AB16" i="20" s="1"/>
  <c r="AC16" i="20" s="1"/>
  <c r="AD16" i="20" s="1"/>
  <c r="E10" i="20"/>
  <c r="F10" i="20" s="1"/>
  <c r="G10" i="20" s="1"/>
  <c r="H10" i="20" s="1"/>
  <c r="I10" i="20" s="1"/>
  <c r="J10" i="20" s="1"/>
  <c r="K10" i="20" s="1"/>
  <c r="L10" i="20" s="1"/>
  <c r="M10" i="20" s="1"/>
  <c r="N10" i="20" s="1"/>
  <c r="O10" i="20" s="1"/>
  <c r="P10" i="20" s="1"/>
  <c r="Q10" i="20" s="1"/>
  <c r="R10" i="20" s="1"/>
  <c r="S10" i="20" s="1"/>
  <c r="T10" i="20" s="1"/>
  <c r="U10" i="20" s="1"/>
  <c r="V10" i="20" s="1"/>
  <c r="W10" i="20" s="1"/>
  <c r="X10" i="20" s="1"/>
  <c r="Y10" i="20" s="1"/>
  <c r="Z10" i="20" s="1"/>
  <c r="AA10" i="20" s="1"/>
  <c r="AB10" i="20" s="1"/>
  <c r="AC10" i="20" s="1"/>
  <c r="AD10" i="20" s="1"/>
  <c r="L5" i="21"/>
  <c r="M5" i="21" s="1"/>
  <c r="N5" i="21" s="1"/>
  <c r="O5" i="21" s="1"/>
  <c r="P5" i="21" s="1"/>
  <c r="Q5" i="21" s="1"/>
  <c r="R5" i="21" s="1"/>
  <c r="S5" i="21" s="1"/>
  <c r="T5" i="21" s="1"/>
  <c r="U5" i="21" s="1"/>
  <c r="V5" i="21" s="1"/>
  <c r="W5" i="21" s="1"/>
  <c r="X5" i="21" s="1"/>
  <c r="Y5" i="21" s="1"/>
  <c r="Z5" i="21" s="1"/>
  <c r="AA5" i="21" s="1"/>
  <c r="AB5" i="21" s="1"/>
  <c r="AC5" i="21" s="1"/>
  <c r="AD5" i="21" s="1"/>
  <c r="E4" i="21"/>
  <c r="F4" i="21" s="1"/>
  <c r="G4" i="21" s="1"/>
  <c r="H4" i="21" s="1"/>
  <c r="I4" i="21" s="1"/>
  <c r="J4" i="21" s="1"/>
  <c r="K4" i="21" s="1"/>
  <c r="L4" i="21" s="1"/>
  <c r="M4" i="21" s="1"/>
  <c r="N4" i="21" s="1"/>
  <c r="O4" i="21" s="1"/>
  <c r="P4" i="21" s="1"/>
  <c r="Q4" i="21" s="1"/>
  <c r="R4" i="21" s="1"/>
  <c r="S4" i="21" s="1"/>
  <c r="T4" i="21" s="1"/>
  <c r="U4" i="21" s="1"/>
  <c r="V4" i="21" s="1"/>
  <c r="W4" i="21" s="1"/>
  <c r="X4" i="21" s="1"/>
  <c r="Y4" i="21" s="1"/>
  <c r="Z4" i="21" s="1"/>
  <c r="AA4" i="21" s="1"/>
  <c r="AB4" i="21" s="1"/>
  <c r="AC4" i="21" s="1"/>
  <c r="AD4" i="21" s="1"/>
  <c r="L5" i="20"/>
  <c r="M5" i="20" s="1"/>
  <c r="N5" i="20" s="1"/>
  <c r="O5" i="20" s="1"/>
  <c r="P5" i="20" s="1"/>
  <c r="Q5" i="20" s="1"/>
  <c r="R5" i="20" s="1"/>
  <c r="S5" i="20" s="1"/>
  <c r="T5" i="20" s="1"/>
  <c r="U5" i="20" s="1"/>
  <c r="V5" i="20" s="1"/>
  <c r="W5" i="20" s="1"/>
  <c r="X5" i="20" s="1"/>
  <c r="Y5" i="20" s="1"/>
  <c r="Z5" i="20" s="1"/>
  <c r="AA5" i="20" s="1"/>
  <c r="AB5" i="20" s="1"/>
  <c r="AC5" i="20" s="1"/>
  <c r="AD5" i="20" s="1"/>
  <c r="E4" i="20"/>
  <c r="G17" i="18"/>
  <c r="H17" i="18"/>
  <c r="G18" i="18"/>
  <c r="H18" i="18"/>
  <c r="F224" i="14"/>
  <c r="F218" i="14"/>
  <c r="F212" i="14"/>
  <c r="F206" i="14"/>
  <c r="F200" i="14"/>
  <c r="F194" i="14"/>
  <c r="F188" i="14"/>
  <c r="F182" i="14"/>
  <c r="F176" i="14"/>
  <c r="F170" i="14"/>
  <c r="F164" i="14"/>
  <c r="F158" i="14"/>
  <c r="F152" i="14"/>
  <c r="F146" i="14"/>
  <c r="F140" i="14"/>
  <c r="F134" i="14"/>
  <c r="F128" i="14"/>
  <c r="F122" i="14"/>
  <c r="F116" i="14"/>
  <c r="F110" i="14"/>
  <c r="F104" i="14"/>
  <c r="F98" i="14"/>
  <c r="F92" i="14"/>
  <c r="F86" i="14"/>
  <c r="F80" i="14"/>
  <c r="F74" i="14"/>
  <c r="F68" i="14"/>
  <c r="V11" i="4"/>
  <c r="V22" i="4" s="1"/>
  <c r="I17" i="11"/>
  <c r="R26" i="4"/>
  <c r="B34" i="17"/>
  <c r="B26" i="17"/>
  <c r="B28" i="17" s="1"/>
  <c r="C22" i="17"/>
  <c r="C23" i="17" s="1"/>
  <c r="C26" i="17" s="1"/>
  <c r="B23" i="17"/>
  <c r="B22" i="17"/>
  <c r="M17" i="11"/>
  <c r="N17" i="11"/>
  <c r="O17" i="11"/>
  <c r="P17" i="11"/>
  <c r="Q17" i="11"/>
  <c r="R17" i="11"/>
  <c r="S17" i="11"/>
  <c r="T17" i="11"/>
  <c r="U17" i="11"/>
  <c r="V17" i="11"/>
  <c r="W17" i="11"/>
  <c r="X17" i="11"/>
  <c r="Y17" i="11"/>
  <c r="Z17" i="11"/>
  <c r="AA17" i="11"/>
  <c r="AB17" i="11"/>
  <c r="AC17" i="11"/>
  <c r="AD17" i="11"/>
  <c r="L17" i="11"/>
  <c r="H17" i="11"/>
  <c r="G17" i="11"/>
  <c r="F17" i="11"/>
  <c r="E17" i="11"/>
  <c r="D17" i="11"/>
  <c r="AD16" i="11"/>
  <c r="AC16" i="11"/>
  <c r="AB16" i="11"/>
  <c r="AA16" i="11"/>
  <c r="Z16" i="11"/>
  <c r="Y16" i="11"/>
  <c r="X16" i="11"/>
  <c r="W16" i="11"/>
  <c r="V16" i="11"/>
  <c r="U16" i="11"/>
  <c r="T16" i="11"/>
  <c r="S16" i="11"/>
  <c r="R16" i="11"/>
  <c r="Q16" i="11"/>
  <c r="P16" i="11"/>
  <c r="O16" i="11"/>
  <c r="N16" i="11"/>
  <c r="M16" i="11"/>
  <c r="L16" i="11"/>
  <c r="D16" i="11"/>
  <c r="W11" i="4"/>
  <c r="V12" i="4"/>
  <c r="V14" i="4"/>
  <c r="W15" i="4"/>
  <c r="W22" i="4"/>
  <c r="W17" i="4"/>
  <c r="W23" i="4" s="1"/>
  <c r="W18" i="4"/>
  <c r="W19" i="4"/>
  <c r="W20" i="4"/>
  <c r="W21" i="4"/>
  <c r="E16" i="11"/>
  <c r="K16" i="21" l="1"/>
  <c r="K19" i="21" s="1"/>
  <c r="D18" i="20"/>
  <c r="D19" i="20"/>
  <c r="E18" i="20"/>
  <c r="E19" i="20"/>
  <c r="H14" i="20"/>
  <c r="J17" i="11"/>
  <c r="K17" i="11"/>
  <c r="J16" i="11"/>
  <c r="F14" i="20"/>
  <c r="G14" i="20"/>
  <c r="F16" i="21"/>
  <c r="E16" i="21"/>
  <c r="F4" i="20"/>
  <c r="G4" i="20" s="1"/>
  <c r="H4" i="20" s="1"/>
  <c r="I4" i="20" s="1"/>
  <c r="J4" i="20" s="1"/>
  <c r="K4" i="20" s="1"/>
  <c r="L4" i="20" s="1"/>
  <c r="M4" i="20" s="1"/>
  <c r="N4" i="20" s="1"/>
  <c r="O4" i="20" s="1"/>
  <c r="P4" i="20" s="1"/>
  <c r="Q4" i="20" s="1"/>
  <c r="R4" i="20" s="1"/>
  <c r="S4" i="20" s="1"/>
  <c r="T4" i="20" s="1"/>
  <c r="U4" i="20" s="1"/>
  <c r="V4" i="20" s="1"/>
  <c r="W4" i="20" s="1"/>
  <c r="X4" i="20" s="1"/>
  <c r="Y4" i="20" s="1"/>
  <c r="Z4" i="20" s="1"/>
  <c r="AA4" i="20" s="1"/>
  <c r="AB4" i="20" s="1"/>
  <c r="AC4" i="20" s="1"/>
  <c r="AD4" i="20" s="1"/>
  <c r="D22" i="17"/>
  <c r="D23" i="17" s="1"/>
  <c r="D26" i="17" s="1"/>
  <c r="D28" i="17" s="1"/>
  <c r="C28" i="17"/>
  <c r="V21" i="4"/>
  <c r="I16" i="11" s="1"/>
  <c r="V19" i="4"/>
  <c r="G16" i="11" s="1"/>
  <c r="V18" i="4"/>
  <c r="F16" i="11" s="1"/>
  <c r="V23" i="4"/>
  <c r="K16" i="11" s="1"/>
  <c r="V20" i="4"/>
  <c r="H16" i="11" s="1"/>
  <c r="C27" i="17"/>
  <c r="B27" i="17"/>
  <c r="W30" i="4"/>
  <c r="L16" i="21" l="1"/>
  <c r="H19" i="20"/>
  <c r="H18" i="20"/>
  <c r="G19" i="20"/>
  <c r="G18" i="20"/>
  <c r="F19" i="20"/>
  <c r="F18" i="20"/>
  <c r="I14" i="20"/>
  <c r="G26" i="6"/>
  <c r="G16" i="21"/>
  <c r="F27" i="6" s="1"/>
  <c r="F26" i="6"/>
  <c r="D26" i="6"/>
  <c r="E26" i="6"/>
  <c r="D27" i="6"/>
  <c r="C27" i="6"/>
  <c r="D27" i="17"/>
  <c r="E22" i="17"/>
  <c r="E23" i="17" s="1"/>
  <c r="E26" i="17" s="1"/>
  <c r="V30" i="4"/>
  <c r="Q26" i="4"/>
  <c r="P26" i="4"/>
  <c r="B18" i="18"/>
  <c r="C18" i="18"/>
  <c r="E18" i="18"/>
  <c r="F17" i="18"/>
  <c r="D17" i="18"/>
  <c r="E17" i="18"/>
  <c r="D18" i="18"/>
  <c r="J5" i="18"/>
  <c r="K5" i="18" s="1"/>
  <c r="L5" i="18" s="1"/>
  <c r="M5" i="18" s="1"/>
  <c r="N5" i="18" s="1"/>
  <c r="O5" i="18" s="1"/>
  <c r="P5" i="18" s="1"/>
  <c r="Q5" i="18" s="1"/>
  <c r="R5" i="18" s="1"/>
  <c r="S5" i="18" s="1"/>
  <c r="T5" i="18" s="1"/>
  <c r="U5" i="18" s="1"/>
  <c r="V5" i="18" s="1"/>
  <c r="W5" i="18" s="1"/>
  <c r="X5" i="18" s="1"/>
  <c r="Y5" i="18" s="1"/>
  <c r="Z5" i="18" s="1"/>
  <c r="AA5" i="18" s="1"/>
  <c r="AB5" i="18" s="1"/>
  <c r="I32" i="17"/>
  <c r="J32" i="17" s="1"/>
  <c r="K32" i="17" s="1"/>
  <c r="L32" i="17" s="1"/>
  <c r="M32" i="17" s="1"/>
  <c r="N32" i="17" s="1"/>
  <c r="O32" i="17" s="1"/>
  <c r="P32" i="17" s="1"/>
  <c r="Q32" i="17" s="1"/>
  <c r="R32" i="17" s="1"/>
  <c r="S32" i="17" s="1"/>
  <c r="T32" i="17" s="1"/>
  <c r="U32" i="17" s="1"/>
  <c r="V32" i="17" s="1"/>
  <c r="W32" i="17" s="1"/>
  <c r="X32" i="17" s="1"/>
  <c r="Y32" i="17" s="1"/>
  <c r="Z32" i="17" s="1"/>
  <c r="AA32" i="17" s="1"/>
  <c r="AB32" i="17" s="1"/>
  <c r="B11" i="17"/>
  <c r="B14" i="17" s="1"/>
  <c r="B16" i="17" s="1"/>
  <c r="C3" i="17"/>
  <c r="D3" i="17" s="1"/>
  <c r="E3" i="17" s="1"/>
  <c r="F3" i="17" s="1"/>
  <c r="G3" i="17" s="1"/>
  <c r="H3" i="17" s="1"/>
  <c r="I3" i="17" s="1"/>
  <c r="J3" i="17" s="1"/>
  <c r="K3" i="17" s="1"/>
  <c r="L3" i="17" s="1"/>
  <c r="M3" i="17" s="1"/>
  <c r="N3" i="17" s="1"/>
  <c r="O3" i="17" s="1"/>
  <c r="P3" i="17" s="1"/>
  <c r="Q3" i="17" s="1"/>
  <c r="R3" i="17" s="1"/>
  <c r="S3" i="17" s="1"/>
  <c r="T3" i="17" s="1"/>
  <c r="U3" i="17" s="1"/>
  <c r="V3" i="17" s="1"/>
  <c r="W3" i="17" s="1"/>
  <c r="X3" i="17" s="1"/>
  <c r="Y3" i="17" s="1"/>
  <c r="Z3" i="17" s="1"/>
  <c r="AA3" i="17" s="1"/>
  <c r="AB3" i="17" s="1"/>
  <c r="C9" i="17"/>
  <c r="D9" i="17" s="1"/>
  <c r="E9" i="17" s="1"/>
  <c r="F9" i="17" s="1"/>
  <c r="G9" i="17" s="1"/>
  <c r="H9" i="17" s="1"/>
  <c r="I9" i="17" s="1"/>
  <c r="J9" i="17" s="1"/>
  <c r="K9" i="17" s="1"/>
  <c r="L9" i="17" s="1"/>
  <c r="M9" i="17" s="1"/>
  <c r="N9" i="17" s="1"/>
  <c r="O9" i="17" s="1"/>
  <c r="P9" i="17" s="1"/>
  <c r="Q9" i="17" s="1"/>
  <c r="R9" i="17" s="1"/>
  <c r="S9" i="17" s="1"/>
  <c r="T9" i="17" s="1"/>
  <c r="U9" i="17" s="1"/>
  <c r="V9" i="17" s="1"/>
  <c r="W9" i="17" s="1"/>
  <c r="X9" i="17" s="1"/>
  <c r="Y9" i="17" s="1"/>
  <c r="Z9" i="17" s="1"/>
  <c r="AA9" i="17" s="1"/>
  <c r="AB9" i="17" s="1"/>
  <c r="I8" i="17"/>
  <c r="J8" i="17" s="1"/>
  <c r="K8" i="17" s="1"/>
  <c r="L8" i="17" s="1"/>
  <c r="M8" i="17" s="1"/>
  <c r="N8" i="17" s="1"/>
  <c r="O8" i="17" s="1"/>
  <c r="P8" i="17" s="1"/>
  <c r="Q8" i="17" s="1"/>
  <c r="R8" i="17" s="1"/>
  <c r="S8" i="17" s="1"/>
  <c r="T8" i="17" s="1"/>
  <c r="U8" i="17" s="1"/>
  <c r="V8" i="17" s="1"/>
  <c r="W8" i="17" s="1"/>
  <c r="X8" i="17" s="1"/>
  <c r="Y8" i="17" s="1"/>
  <c r="Z8" i="17" s="1"/>
  <c r="AA8" i="17" s="1"/>
  <c r="AB8" i="17" s="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E15" i="11"/>
  <c r="F15" i="11" s="1"/>
  <c r="G15" i="11" s="1"/>
  <c r="H15" i="11" s="1"/>
  <c r="I15" i="11" s="1"/>
  <c r="J15" i="11" s="1"/>
  <c r="K15" i="11" s="1"/>
  <c r="L15" i="11" s="1"/>
  <c r="M15" i="11" s="1"/>
  <c r="N15" i="11" s="1"/>
  <c r="O15" i="11" s="1"/>
  <c r="P15" i="11" s="1"/>
  <c r="Q15" i="11" s="1"/>
  <c r="R15" i="11" s="1"/>
  <c r="S15" i="11" s="1"/>
  <c r="T15" i="11" s="1"/>
  <c r="U15" i="11" s="1"/>
  <c r="V15" i="11" s="1"/>
  <c r="W15" i="11" s="1"/>
  <c r="X15" i="11" s="1"/>
  <c r="Y15" i="11" s="1"/>
  <c r="Z15" i="11" s="1"/>
  <c r="AA15" i="11" s="1"/>
  <c r="AB15" i="11" s="1"/>
  <c r="AC15" i="11" s="1"/>
  <c r="AD15" i="11" s="1"/>
  <c r="E20" i="11"/>
  <c r="F20" i="11" s="1"/>
  <c r="G20" i="11" s="1"/>
  <c r="H20" i="11" s="1"/>
  <c r="I20" i="11" s="1"/>
  <c r="J20" i="11" s="1"/>
  <c r="K20" i="11" s="1"/>
  <c r="L20" i="11" s="1"/>
  <c r="M20" i="11" s="1"/>
  <c r="N20" i="11" s="1"/>
  <c r="O20" i="11" s="1"/>
  <c r="P20" i="11" s="1"/>
  <c r="Q20" i="11" s="1"/>
  <c r="R20" i="11" s="1"/>
  <c r="S20" i="11" s="1"/>
  <c r="T20" i="11" s="1"/>
  <c r="U20" i="11" s="1"/>
  <c r="V20" i="11" s="1"/>
  <c r="W20" i="11" s="1"/>
  <c r="X20" i="11" s="1"/>
  <c r="Y20" i="11" s="1"/>
  <c r="Z20" i="11" s="1"/>
  <c r="AA20" i="11" s="1"/>
  <c r="AB20" i="11" s="1"/>
  <c r="AC20" i="11" s="1"/>
  <c r="AD20" i="11" s="1"/>
  <c r="E9" i="11"/>
  <c r="F9" i="11" s="1"/>
  <c r="G9" i="11" s="1"/>
  <c r="H9" i="11" s="1"/>
  <c r="I9" i="11" s="1"/>
  <c r="J9" i="11" s="1"/>
  <c r="K9" i="11" s="1"/>
  <c r="L9" i="11" s="1"/>
  <c r="M9" i="11" s="1"/>
  <c r="N9" i="11" s="1"/>
  <c r="O9" i="11" s="1"/>
  <c r="P9" i="11" s="1"/>
  <c r="Q9" i="11" s="1"/>
  <c r="R9" i="11" s="1"/>
  <c r="S9" i="11" s="1"/>
  <c r="T9" i="11" s="1"/>
  <c r="U9" i="11" s="1"/>
  <c r="V9" i="11" s="1"/>
  <c r="W9" i="11" s="1"/>
  <c r="X9" i="11" s="1"/>
  <c r="Y9" i="11" s="1"/>
  <c r="Z9" i="11" s="1"/>
  <c r="AA9" i="11" s="1"/>
  <c r="AB9" i="11" s="1"/>
  <c r="AC9" i="11" s="1"/>
  <c r="AD9" i="11" s="1"/>
  <c r="M16" i="21" l="1"/>
  <c r="I18" i="20"/>
  <c r="H40" i="6" s="1"/>
  <c r="I19" i="20"/>
  <c r="H54" i="6" s="1"/>
  <c r="H26" i="6"/>
  <c r="J14" i="20"/>
  <c r="J17" i="20" s="1"/>
  <c r="C54" i="6"/>
  <c r="C26" i="6"/>
  <c r="G54" i="6"/>
  <c r="F21" i="21"/>
  <c r="E55" i="6" s="1"/>
  <c r="E27" i="6"/>
  <c r="E41" i="6"/>
  <c r="G40" i="6"/>
  <c r="C40" i="6"/>
  <c r="E54" i="6"/>
  <c r="F54" i="6"/>
  <c r="E40" i="6"/>
  <c r="G21" i="21"/>
  <c r="F55" i="6" s="1"/>
  <c r="F41" i="6"/>
  <c r="H16" i="21"/>
  <c r="G27" i="6" s="1"/>
  <c r="F40" i="6"/>
  <c r="D40" i="6"/>
  <c r="D54" i="6"/>
  <c r="E21" i="21"/>
  <c r="D55" i="6" s="1"/>
  <c r="D41" i="6"/>
  <c r="C41" i="6"/>
  <c r="D21" i="21"/>
  <c r="C55" i="6" s="1"/>
  <c r="F22" i="17"/>
  <c r="F23" i="17" s="1"/>
  <c r="F26" i="17" s="1"/>
  <c r="E27" i="17"/>
  <c r="E28" i="17"/>
  <c r="F18" i="18"/>
  <c r="C17" i="18"/>
  <c r="B17" i="18"/>
  <c r="F11" i="17"/>
  <c r="F14" i="17" s="1"/>
  <c r="F15" i="17" s="1"/>
  <c r="E11" i="17"/>
  <c r="E14" i="17" s="1"/>
  <c r="E15" i="17" s="1"/>
  <c r="D11" i="17"/>
  <c r="D14" i="17" s="1"/>
  <c r="C11" i="17"/>
  <c r="C14" i="17" s="1"/>
  <c r="G11" i="17"/>
  <c r="G14" i="17" s="1"/>
  <c r="G15" i="17" s="1"/>
  <c r="B15" i="17"/>
  <c r="N16" i="21" l="1"/>
  <c r="J19" i="20"/>
  <c r="I54" i="6" s="1"/>
  <c r="J18" i="20"/>
  <c r="I26" i="6"/>
  <c r="I40" i="6"/>
  <c r="I16" i="21"/>
  <c r="H27" i="6" s="1"/>
  <c r="G41" i="6"/>
  <c r="H21" i="21"/>
  <c r="G55" i="6" s="1"/>
  <c r="C16" i="17"/>
  <c r="C34" i="17"/>
  <c r="E34" i="17"/>
  <c r="D15" i="17"/>
  <c r="D34" i="17"/>
  <c r="F28" i="17"/>
  <c r="F27" i="17"/>
  <c r="F34" i="17"/>
  <c r="G22" i="17"/>
  <c r="G23" i="17" s="1"/>
  <c r="G26" i="17" s="1"/>
  <c r="B36" i="17"/>
  <c r="E16" i="17"/>
  <c r="F16" i="17"/>
  <c r="D16" i="17"/>
  <c r="C15" i="17"/>
  <c r="G16" i="17"/>
  <c r="B35" i="17"/>
  <c r="O16" i="21" l="1"/>
  <c r="K17" i="20"/>
  <c r="H41" i="6"/>
  <c r="I21" i="21"/>
  <c r="H55" i="6" s="1"/>
  <c r="K20" i="21"/>
  <c r="J16" i="21"/>
  <c r="I27" i="6" s="1"/>
  <c r="G27" i="17"/>
  <c r="G34" i="17"/>
  <c r="G35" i="17" s="1"/>
  <c r="G28" i="17"/>
  <c r="H22" i="17"/>
  <c r="H23" i="17" s="1"/>
  <c r="H26" i="17" s="1"/>
  <c r="H11" i="17"/>
  <c r="H14" i="17" s="1"/>
  <c r="F36" i="17"/>
  <c r="C35" i="17"/>
  <c r="E35" i="17"/>
  <c r="D36" i="17"/>
  <c r="D35" i="17"/>
  <c r="E36" i="17"/>
  <c r="F35" i="17"/>
  <c r="C36" i="17"/>
  <c r="P16" i="21" l="1"/>
  <c r="K18" i="20"/>
  <c r="J40" i="6" s="1"/>
  <c r="K19" i="20"/>
  <c r="J54" i="6" s="1"/>
  <c r="J26" i="6"/>
  <c r="L17" i="20"/>
  <c r="J27" i="6"/>
  <c r="J41" i="6"/>
  <c r="J55" i="6"/>
  <c r="I41" i="6"/>
  <c r="J21" i="21"/>
  <c r="I55" i="6" s="1"/>
  <c r="G36" i="17"/>
  <c r="H16" i="17"/>
  <c r="H15" i="17"/>
  <c r="H28" i="17"/>
  <c r="H34" i="17"/>
  <c r="H27" i="17"/>
  <c r="I23" i="17"/>
  <c r="I11" i="17"/>
  <c r="I14" i="17" s="1"/>
  <c r="Q16" i="21" l="1"/>
  <c r="L18" i="20"/>
  <c r="K40" i="6" s="1"/>
  <c r="L19" i="20"/>
  <c r="K54" i="6" s="1"/>
  <c r="N17" i="20"/>
  <c r="M17" i="20"/>
  <c r="K26" i="6"/>
  <c r="K27" i="6"/>
  <c r="K41" i="6"/>
  <c r="K55" i="6"/>
  <c r="I15" i="17"/>
  <c r="I16" i="17"/>
  <c r="J23" i="17"/>
  <c r="J11" i="17"/>
  <c r="J14" i="17" s="1"/>
  <c r="H36" i="17"/>
  <c r="H35" i="17"/>
  <c r="R16" i="21" l="1"/>
  <c r="M18" i="20"/>
  <c r="L40" i="6" s="1"/>
  <c r="M19" i="20"/>
  <c r="L54" i="6" s="1"/>
  <c r="N19" i="20"/>
  <c r="N18" i="20"/>
  <c r="L26" i="6"/>
  <c r="L27" i="6"/>
  <c r="L55" i="6"/>
  <c r="L41" i="6"/>
  <c r="M27" i="6"/>
  <c r="K23" i="17"/>
  <c r="K11" i="17"/>
  <c r="K14" i="17" s="1"/>
  <c r="J16" i="17"/>
  <c r="J15" i="17"/>
  <c r="S16" i="21" l="1"/>
  <c r="O17" i="20"/>
  <c r="M26" i="6"/>
  <c r="M54" i="6"/>
  <c r="M40" i="6"/>
  <c r="M55" i="6"/>
  <c r="K16" i="17"/>
  <c r="K15" i="17"/>
  <c r="L23" i="17"/>
  <c r="L11" i="17"/>
  <c r="L14" i="17" s="1"/>
  <c r="T16" i="21" l="1"/>
  <c r="O18" i="20"/>
  <c r="N40" i="6" s="1"/>
  <c r="O19" i="20"/>
  <c r="N54" i="6" s="1"/>
  <c r="N26" i="6"/>
  <c r="P17" i="20"/>
  <c r="M41" i="6"/>
  <c r="N27" i="6"/>
  <c r="N55" i="6"/>
  <c r="N41" i="6"/>
  <c r="M23" i="17"/>
  <c r="M11" i="17"/>
  <c r="M14" i="17" s="1"/>
  <c r="L16" i="17"/>
  <c r="L15" i="17"/>
  <c r="U16" i="21" l="1"/>
  <c r="P19" i="20"/>
  <c r="O54" i="6" s="1"/>
  <c r="P18" i="20"/>
  <c r="O40" i="6" s="1"/>
  <c r="Q17" i="20"/>
  <c r="O26" i="6"/>
  <c r="O27" i="6"/>
  <c r="O55" i="6"/>
  <c r="O41" i="6"/>
  <c r="M16" i="17"/>
  <c r="M15" i="17"/>
  <c r="N23" i="17"/>
  <c r="N11" i="17"/>
  <c r="N14" i="17" s="1"/>
  <c r="V16" i="21" l="1"/>
  <c r="Q19" i="20"/>
  <c r="P54" i="6" s="1"/>
  <c r="Q18" i="20"/>
  <c r="P40" i="6" s="1"/>
  <c r="R17" i="20"/>
  <c r="P26" i="6"/>
  <c r="P27" i="6"/>
  <c r="P55" i="6"/>
  <c r="P41" i="6"/>
  <c r="O23" i="17"/>
  <c r="O11" i="17"/>
  <c r="O14" i="17" s="1"/>
  <c r="N16" i="17"/>
  <c r="N15" i="17"/>
  <c r="W16" i="21" l="1"/>
  <c r="R18" i="20"/>
  <c r="Q40" i="6" s="1"/>
  <c r="R19" i="20"/>
  <c r="Q54" i="6" s="1"/>
  <c r="Q26" i="6"/>
  <c r="S17" i="20"/>
  <c r="Q27" i="6"/>
  <c r="Q55" i="6"/>
  <c r="Q41" i="6"/>
  <c r="O16" i="17"/>
  <c r="O15" i="17"/>
  <c r="P23" i="17"/>
  <c r="P11" i="17"/>
  <c r="P14" i="17" s="1"/>
  <c r="X16" i="21" l="1"/>
  <c r="S19" i="20"/>
  <c r="R54" i="6" s="1"/>
  <c r="S18" i="20"/>
  <c r="R40" i="6" s="1"/>
  <c r="T17" i="20"/>
  <c r="R26" i="6"/>
  <c r="R27" i="6"/>
  <c r="R41" i="6"/>
  <c r="R55" i="6"/>
  <c r="P15" i="17"/>
  <c r="P16" i="17"/>
  <c r="Q23" i="17"/>
  <c r="Q11" i="17"/>
  <c r="Q14" i="17" s="1"/>
  <c r="Y16" i="21" l="1"/>
  <c r="T18" i="20"/>
  <c r="S40" i="6" s="1"/>
  <c r="T19" i="20"/>
  <c r="S54" i="6" s="1"/>
  <c r="U17" i="20"/>
  <c r="S26" i="6"/>
  <c r="S27" i="6"/>
  <c r="S41" i="6"/>
  <c r="S55" i="6"/>
  <c r="Q16" i="17"/>
  <c r="Q15" i="17"/>
  <c r="R23" i="17"/>
  <c r="R11" i="17"/>
  <c r="R14" i="17" s="1"/>
  <c r="Z16" i="21" l="1"/>
  <c r="U18" i="20"/>
  <c r="T40" i="6" s="1"/>
  <c r="U19" i="20"/>
  <c r="T54" i="6" s="1"/>
  <c r="V17" i="20"/>
  <c r="T26" i="6"/>
  <c r="T27" i="6"/>
  <c r="T55" i="6"/>
  <c r="T41" i="6"/>
  <c r="U27" i="6"/>
  <c r="R15" i="17"/>
  <c r="R16" i="17"/>
  <c r="S23" i="17"/>
  <c r="S11" i="17"/>
  <c r="S14" i="17" s="1"/>
  <c r="AA16" i="21" l="1"/>
  <c r="V19" i="20"/>
  <c r="U54" i="6" s="1"/>
  <c r="V18" i="20"/>
  <c r="U40" i="6" s="1"/>
  <c r="U26" i="6"/>
  <c r="W17" i="20"/>
  <c r="U55" i="6"/>
  <c r="S16" i="17"/>
  <c r="S15" i="17"/>
  <c r="T23" i="17"/>
  <c r="T11" i="17"/>
  <c r="T14" i="17" s="1"/>
  <c r="AB16" i="21" l="1"/>
  <c r="W18" i="20"/>
  <c r="V40" i="6" s="1"/>
  <c r="W19" i="20"/>
  <c r="X17" i="20"/>
  <c r="V26" i="6"/>
  <c r="V54" i="6"/>
  <c r="V27" i="6"/>
  <c r="U41" i="6"/>
  <c r="V55" i="6"/>
  <c r="V41" i="6"/>
  <c r="T16" i="17"/>
  <c r="T15" i="17"/>
  <c r="U23" i="17"/>
  <c r="U11" i="17"/>
  <c r="U14" i="17" s="1"/>
  <c r="AD16" i="21" l="1"/>
  <c r="AC16" i="21"/>
  <c r="X18" i="20"/>
  <c r="W40" i="6" s="1"/>
  <c r="X19" i="20"/>
  <c r="W54" i="6" s="1"/>
  <c r="W26" i="6"/>
  <c r="Y17" i="20"/>
  <c r="W27" i="6"/>
  <c r="W41" i="6"/>
  <c r="W55" i="6"/>
  <c r="U16" i="17"/>
  <c r="U15" i="17"/>
  <c r="V23" i="17"/>
  <c r="V11" i="17"/>
  <c r="V14" i="17" s="1"/>
  <c r="Y19" i="20" l="1"/>
  <c r="X54" i="6" s="1"/>
  <c r="Y18" i="20"/>
  <c r="X40" i="6" s="1"/>
  <c r="X26" i="6"/>
  <c r="Z17" i="20"/>
  <c r="X27" i="6"/>
  <c r="X55" i="6"/>
  <c r="X41" i="6"/>
  <c r="V16" i="17"/>
  <c r="V15" i="17"/>
  <c r="W23" i="17"/>
  <c r="W11" i="17"/>
  <c r="W14" i="17" s="1"/>
  <c r="Z18" i="20" l="1"/>
  <c r="Y40" i="6" s="1"/>
  <c r="Z19" i="20"/>
  <c r="Y54" i="6" s="1"/>
  <c r="Y26" i="6"/>
  <c r="AA17" i="20"/>
  <c r="Y27" i="6"/>
  <c r="Y55" i="6"/>
  <c r="Y41" i="6"/>
  <c r="Z27" i="6"/>
  <c r="W15" i="17"/>
  <c r="W16" i="17"/>
  <c r="X23" i="17"/>
  <c r="X11" i="17"/>
  <c r="X14" i="17" s="1"/>
  <c r="AA18" i="20" l="1"/>
  <c r="Z40" i="6" s="1"/>
  <c r="AA19" i="20"/>
  <c r="Z54" i="6" s="1"/>
  <c r="Z26" i="6"/>
  <c r="AB17" i="20"/>
  <c r="Z55" i="6"/>
  <c r="X16" i="17"/>
  <c r="X15" i="17"/>
  <c r="Y23" i="17"/>
  <c r="Y11" i="17"/>
  <c r="Y14" i="17" s="1"/>
  <c r="AB19" i="20" l="1"/>
  <c r="AA54" i="6" s="1"/>
  <c r="AB18" i="20"/>
  <c r="AA40" i="6" s="1"/>
  <c r="AA26" i="6"/>
  <c r="AD17" i="20"/>
  <c r="AC17" i="20"/>
  <c r="Z41" i="6"/>
  <c r="AA27" i="6"/>
  <c r="AA41" i="6"/>
  <c r="AA55" i="6"/>
  <c r="Y16" i="17"/>
  <c r="Y15" i="17"/>
  <c r="Z23" i="17"/>
  <c r="Z11" i="17"/>
  <c r="Z14" i="17" s="1"/>
  <c r="AD19" i="20" l="1"/>
  <c r="AC54" i="6" s="1"/>
  <c r="AD18" i="20"/>
  <c r="AC40" i="6" s="1"/>
  <c r="AC19" i="20"/>
  <c r="AB54" i="6" s="1"/>
  <c r="AC18" i="20"/>
  <c r="AB40" i="6" s="1"/>
  <c r="AB26" i="6"/>
  <c r="B26" i="6" s="1"/>
  <c r="C7" i="6" s="1"/>
  <c r="AC26" i="6"/>
  <c r="AB27" i="6"/>
  <c r="AB55" i="6"/>
  <c r="AB41" i="6"/>
  <c r="Z15" i="17"/>
  <c r="Z16" i="17"/>
  <c r="AA23" i="17"/>
  <c r="AA11" i="17"/>
  <c r="AA14" i="17" s="1"/>
  <c r="B40" i="6" l="1"/>
  <c r="D7" i="6" s="1"/>
  <c r="B54" i="6"/>
  <c r="E7" i="6" s="1"/>
  <c r="AA16" i="17"/>
  <c r="AA15" i="17"/>
  <c r="AB23" i="17"/>
  <c r="AB11" i="17"/>
  <c r="AB14" i="17" s="1"/>
  <c r="AC27" i="6" l="1"/>
  <c r="B27" i="6" s="1"/>
  <c r="C8" i="6" s="1"/>
  <c r="AC55" i="6"/>
  <c r="B55" i="6" s="1"/>
  <c r="E8" i="6" s="1"/>
  <c r="AC41" i="6"/>
  <c r="AB15" i="17"/>
  <c r="AB16" i="17"/>
  <c r="B41" i="6" l="1"/>
  <c r="D8" i="6" s="1"/>
  <c r="C4" i="18"/>
  <c r="D4" i="18" s="1"/>
  <c r="E4" i="18" s="1"/>
  <c r="F4" i="18" s="1"/>
  <c r="G4" i="18" s="1"/>
  <c r="H4" i="18" s="1"/>
  <c r="I4" i="18" s="1"/>
  <c r="J4" i="18" s="1"/>
  <c r="K4" i="18" s="1"/>
  <c r="L4" i="18" s="1"/>
  <c r="M4" i="18" s="1"/>
  <c r="N4" i="18" s="1"/>
  <c r="O4" i="18" s="1"/>
  <c r="P4" i="18" s="1"/>
  <c r="Q4" i="18" s="1"/>
  <c r="R4" i="18" s="1"/>
  <c r="S4" i="18" s="1"/>
  <c r="T4" i="18" s="1"/>
  <c r="U4" i="18" s="1"/>
  <c r="V4" i="18" s="1"/>
  <c r="W4" i="18" s="1"/>
  <c r="X4" i="18" s="1"/>
  <c r="Y4" i="18" s="1"/>
  <c r="Z4" i="18" s="1"/>
  <c r="AA4" i="18" s="1"/>
  <c r="AB4" i="18" s="1"/>
  <c r="C33" i="17"/>
  <c r="I10" i="18"/>
  <c r="J10" i="18" s="1"/>
  <c r="K10" i="18" s="1"/>
  <c r="L10" i="18" s="1"/>
  <c r="M10" i="18" s="1"/>
  <c r="N10" i="18" s="1"/>
  <c r="O10" i="18" s="1"/>
  <c r="P10" i="18" s="1"/>
  <c r="Q10" i="18" s="1"/>
  <c r="R10" i="18" s="1"/>
  <c r="S10" i="18" s="1"/>
  <c r="T10" i="18" s="1"/>
  <c r="U10" i="18" s="1"/>
  <c r="V10" i="18" s="1"/>
  <c r="W10" i="18" s="1"/>
  <c r="X10" i="18" s="1"/>
  <c r="Y10" i="18" s="1"/>
  <c r="Z10" i="18" s="1"/>
  <c r="AA10" i="18" s="1"/>
  <c r="AB10" i="18" s="1"/>
  <c r="C11" i="18"/>
  <c r="D11" i="18" s="1"/>
  <c r="E11" i="18" s="1"/>
  <c r="F11" i="18" s="1"/>
  <c r="G11" i="18" s="1"/>
  <c r="H11" i="18" s="1"/>
  <c r="I11" i="18" s="1"/>
  <c r="J11" i="18" s="1"/>
  <c r="K11" i="18" s="1"/>
  <c r="L11" i="18" s="1"/>
  <c r="M11" i="18" s="1"/>
  <c r="N11" i="18" s="1"/>
  <c r="O11" i="18" s="1"/>
  <c r="P11" i="18" s="1"/>
  <c r="Q11" i="18" s="1"/>
  <c r="R11" i="18" s="1"/>
  <c r="S11" i="18" s="1"/>
  <c r="T11" i="18" s="1"/>
  <c r="U11" i="18" s="1"/>
  <c r="V11" i="18" s="1"/>
  <c r="W11" i="18" s="1"/>
  <c r="X11" i="18" s="1"/>
  <c r="Y11" i="18" s="1"/>
  <c r="Z11" i="18" s="1"/>
  <c r="AA11" i="18" s="1"/>
  <c r="AB11" i="18" s="1"/>
  <c r="J26" i="17"/>
  <c r="J34" i="17" s="1"/>
  <c r="I26" i="17"/>
  <c r="I34" i="17" s="1"/>
  <c r="I20" i="17"/>
  <c r="J20" i="17" s="1"/>
  <c r="K20" i="17" s="1"/>
  <c r="L20" i="17" s="1"/>
  <c r="M20" i="17" s="1"/>
  <c r="N20" i="17" s="1"/>
  <c r="O20" i="17" s="1"/>
  <c r="P20" i="17" s="1"/>
  <c r="Q20" i="17" s="1"/>
  <c r="R20" i="17" s="1"/>
  <c r="S20" i="17" s="1"/>
  <c r="T20" i="17" s="1"/>
  <c r="U20" i="17" s="1"/>
  <c r="V20" i="17" s="1"/>
  <c r="W20" i="17" s="1"/>
  <c r="X20" i="17" s="1"/>
  <c r="Y20" i="17" s="1"/>
  <c r="Z20" i="17" s="1"/>
  <c r="AA20" i="17" s="1"/>
  <c r="AB20" i="17" s="1"/>
  <c r="C21" i="17"/>
  <c r="D21" i="17" s="1"/>
  <c r="E21" i="17" s="1"/>
  <c r="F21" i="17" s="1"/>
  <c r="G21" i="17" s="1"/>
  <c r="H21" i="17" s="1"/>
  <c r="I21" i="17" s="1"/>
  <c r="J21" i="17" s="1"/>
  <c r="K21" i="17" s="1"/>
  <c r="L21" i="17" s="1"/>
  <c r="M21" i="17" s="1"/>
  <c r="N21" i="17" s="1"/>
  <c r="O21" i="17" s="1"/>
  <c r="P21" i="17" s="1"/>
  <c r="Q21" i="17" s="1"/>
  <c r="R21" i="17" s="1"/>
  <c r="S21" i="17" s="1"/>
  <c r="T21" i="17" s="1"/>
  <c r="U21" i="17" s="1"/>
  <c r="V21" i="17" s="1"/>
  <c r="W21" i="17" s="1"/>
  <c r="X21" i="17" s="1"/>
  <c r="Y21" i="17" s="1"/>
  <c r="Z21" i="17" s="1"/>
  <c r="AA21" i="17" s="1"/>
  <c r="AB21" i="17" s="1"/>
  <c r="E18" i="11"/>
  <c r="E21" i="11" s="1"/>
  <c r="D31" i="6" s="1"/>
  <c r="F18" i="11"/>
  <c r="F21" i="11" s="1"/>
  <c r="E31" i="6" s="1"/>
  <c r="G18" i="11"/>
  <c r="G21" i="11" s="1"/>
  <c r="F31" i="6" s="1"/>
  <c r="H18" i="11"/>
  <c r="H21" i="11" s="1"/>
  <c r="G31" i="6" s="1"/>
  <c r="I18" i="11"/>
  <c r="I21" i="11" s="1"/>
  <c r="H31" i="6" s="1"/>
  <c r="J18" i="11"/>
  <c r="J21" i="11" s="1"/>
  <c r="I31" i="6" s="1"/>
  <c r="K18" i="11"/>
  <c r="K21" i="11" s="1"/>
  <c r="J31" i="6" s="1"/>
  <c r="L18" i="11"/>
  <c r="L21" i="11" s="1"/>
  <c r="K31" i="6" s="1"/>
  <c r="M18" i="11"/>
  <c r="M21" i="11" s="1"/>
  <c r="L31" i="6" s="1"/>
  <c r="N18" i="11"/>
  <c r="N21" i="11" s="1"/>
  <c r="M31" i="6" s="1"/>
  <c r="O18" i="11"/>
  <c r="O21" i="11" s="1"/>
  <c r="N31" i="6" s="1"/>
  <c r="P18" i="11"/>
  <c r="P21" i="11" s="1"/>
  <c r="O31" i="6" s="1"/>
  <c r="Q18" i="11"/>
  <c r="Q21" i="11" s="1"/>
  <c r="P31" i="6" s="1"/>
  <c r="R18" i="11"/>
  <c r="R21" i="11" s="1"/>
  <c r="Q31" i="6" s="1"/>
  <c r="S18" i="11"/>
  <c r="S21" i="11" s="1"/>
  <c r="R31" i="6" s="1"/>
  <c r="T18" i="11"/>
  <c r="T21" i="11" s="1"/>
  <c r="S31" i="6" s="1"/>
  <c r="U18" i="11"/>
  <c r="U21" i="11" s="1"/>
  <c r="T31" i="6" s="1"/>
  <c r="V18" i="11"/>
  <c r="V21" i="11" s="1"/>
  <c r="U31" i="6" s="1"/>
  <c r="W18" i="11"/>
  <c r="W21" i="11" s="1"/>
  <c r="V31" i="6" s="1"/>
  <c r="X18" i="11"/>
  <c r="X21" i="11" s="1"/>
  <c r="W31" i="6" s="1"/>
  <c r="Y18" i="11"/>
  <c r="Y21" i="11" s="1"/>
  <c r="X31" i="6" s="1"/>
  <c r="Z18" i="11"/>
  <c r="Z21" i="11" s="1"/>
  <c r="Y31" i="6" s="1"/>
  <c r="AA18" i="11"/>
  <c r="AA21" i="11" s="1"/>
  <c r="Z31" i="6" s="1"/>
  <c r="AB18" i="11"/>
  <c r="AB21" i="11" s="1"/>
  <c r="AA31" i="6" s="1"/>
  <c r="AC18" i="11"/>
  <c r="AC21" i="11" s="1"/>
  <c r="AB31" i="6" s="1"/>
  <c r="AD18" i="11"/>
  <c r="AD21" i="11" s="1"/>
  <c r="AC31" i="6" s="1"/>
  <c r="D18" i="11"/>
  <c r="D21" i="11" s="1"/>
  <c r="C31" i="6" s="1"/>
  <c r="E16" i="4"/>
  <c r="B31" i="6" l="1"/>
  <c r="J27" i="17"/>
  <c r="I28" i="17"/>
  <c r="D33" i="17"/>
  <c r="J28" i="17"/>
  <c r="I27" i="17"/>
  <c r="J29" i="6"/>
  <c r="C19" i="6" l="1"/>
  <c r="C12" i="6"/>
  <c r="I17" i="18"/>
  <c r="J43" i="6" s="1"/>
  <c r="I18" i="18"/>
  <c r="J57" i="6" s="1"/>
  <c r="I35" i="17"/>
  <c r="I36" i="17"/>
  <c r="J35" i="17"/>
  <c r="J36" i="17"/>
  <c r="E33" i="17"/>
  <c r="J16" i="18"/>
  <c r="K29" i="6" s="1"/>
  <c r="K26" i="17"/>
  <c r="K34" i="17" l="1"/>
  <c r="J17" i="18"/>
  <c r="K43" i="6" s="1"/>
  <c r="J18" i="18"/>
  <c r="K57" i="6" s="1"/>
  <c r="F33" i="17"/>
  <c r="K28" i="17"/>
  <c r="K27" i="17"/>
  <c r="K16" i="18"/>
  <c r="L29" i="6" s="1"/>
  <c r="L26" i="17"/>
  <c r="K36" i="17" l="1"/>
  <c r="K35" i="17"/>
  <c r="L34" i="17"/>
  <c r="K18" i="18"/>
  <c r="L57" i="6" s="1"/>
  <c r="K17" i="18"/>
  <c r="L43" i="6" s="1"/>
  <c r="G33" i="17"/>
  <c r="L28" i="17"/>
  <c r="L27" i="17"/>
  <c r="L16" i="18"/>
  <c r="M29" i="6" s="1"/>
  <c r="M26" i="17"/>
  <c r="L36" i="17" l="1"/>
  <c r="L35" i="17"/>
  <c r="M34" i="17"/>
  <c r="L18" i="18"/>
  <c r="M57" i="6" s="1"/>
  <c r="L17" i="18"/>
  <c r="M43" i="6" s="1"/>
  <c r="H33" i="17"/>
  <c r="M28" i="17"/>
  <c r="M27" i="17"/>
  <c r="M16" i="18"/>
  <c r="N29" i="6" s="1"/>
  <c r="N26" i="17"/>
  <c r="M35" i="17" l="1"/>
  <c r="M36" i="17"/>
  <c r="N34" i="17"/>
  <c r="M18" i="18"/>
  <c r="N57" i="6" s="1"/>
  <c r="M17" i="18"/>
  <c r="N43" i="6" s="1"/>
  <c r="N35" i="17"/>
  <c r="I33" i="17"/>
  <c r="N28" i="17"/>
  <c r="N27" i="17"/>
  <c r="N16" i="18"/>
  <c r="O29" i="6" s="1"/>
  <c r="O26" i="17"/>
  <c r="N36" i="17" l="1"/>
  <c r="O34" i="17"/>
  <c r="N17" i="18"/>
  <c r="O43" i="6" s="1"/>
  <c r="N18" i="18"/>
  <c r="O57" i="6" s="1"/>
  <c r="J33" i="17"/>
  <c r="O28" i="17"/>
  <c r="O27" i="17"/>
  <c r="O16" i="18"/>
  <c r="P29" i="6" s="1"/>
  <c r="P26" i="17"/>
  <c r="O36" i="17" l="1"/>
  <c r="O35" i="17"/>
  <c r="P34" i="17"/>
  <c r="O18" i="18"/>
  <c r="P57" i="6" s="1"/>
  <c r="O17" i="18"/>
  <c r="P43" i="6" s="1"/>
  <c r="K33" i="17"/>
  <c r="P27" i="17"/>
  <c r="P28" i="17"/>
  <c r="P16" i="18"/>
  <c r="Q29" i="6" s="1"/>
  <c r="Q26" i="17"/>
  <c r="P35" i="17" l="1"/>
  <c r="P36" i="17"/>
  <c r="Q34" i="17"/>
  <c r="P17" i="18"/>
  <c r="Q43" i="6" s="1"/>
  <c r="P18" i="18"/>
  <c r="Q57" i="6" s="1"/>
  <c r="L33" i="17"/>
  <c r="Q27" i="17"/>
  <c r="Q28" i="17"/>
  <c r="Q16" i="18"/>
  <c r="R29" i="6" s="1"/>
  <c r="R26" i="17"/>
  <c r="Q36" i="17" l="1"/>
  <c r="Q35" i="17"/>
  <c r="R34" i="17"/>
  <c r="Q17" i="18"/>
  <c r="R43" i="6" s="1"/>
  <c r="Q18" i="18"/>
  <c r="R57" i="6" s="1"/>
  <c r="M33" i="17"/>
  <c r="R27" i="17"/>
  <c r="R28" i="17"/>
  <c r="R16" i="18"/>
  <c r="S29" i="6" s="1"/>
  <c r="S26" i="17"/>
  <c r="R36" i="17" l="1"/>
  <c r="R35" i="17"/>
  <c r="S34" i="17"/>
  <c r="R17" i="18"/>
  <c r="S43" i="6" s="1"/>
  <c r="R18" i="18"/>
  <c r="S57" i="6" s="1"/>
  <c r="N33" i="17"/>
  <c r="S28" i="17"/>
  <c r="S27" i="17"/>
  <c r="S16" i="18"/>
  <c r="T29" i="6" s="1"/>
  <c r="T26" i="17"/>
  <c r="S36" i="17" l="1"/>
  <c r="S35" i="17"/>
  <c r="T34" i="17"/>
  <c r="S18" i="18"/>
  <c r="T57" i="6" s="1"/>
  <c r="S17" i="18"/>
  <c r="T43" i="6" s="1"/>
  <c r="O33" i="17"/>
  <c r="T28" i="17"/>
  <c r="T27" i="17"/>
  <c r="T16" i="18"/>
  <c r="U29" i="6" s="1"/>
  <c r="U26" i="17"/>
  <c r="T36" i="17" l="1"/>
  <c r="T35" i="17"/>
  <c r="U34" i="17"/>
  <c r="T18" i="18"/>
  <c r="U57" i="6" s="1"/>
  <c r="T17" i="18"/>
  <c r="U43" i="6" s="1"/>
  <c r="P33" i="17"/>
  <c r="U28" i="17"/>
  <c r="U27" i="17"/>
  <c r="U16" i="18"/>
  <c r="V29" i="6" s="1"/>
  <c r="V26" i="17"/>
  <c r="U36" i="17" l="1"/>
  <c r="U35" i="17"/>
  <c r="V34" i="17"/>
  <c r="U18" i="18"/>
  <c r="V57" i="6" s="1"/>
  <c r="U17" i="18"/>
  <c r="V43" i="6" s="1"/>
  <c r="Q33" i="17"/>
  <c r="V28" i="17"/>
  <c r="V27" i="17"/>
  <c r="V16" i="18"/>
  <c r="W29" i="6" s="1"/>
  <c r="W26" i="17"/>
  <c r="V36" i="17" l="1"/>
  <c r="V35" i="17"/>
  <c r="W34" i="17"/>
  <c r="V18" i="18"/>
  <c r="W57" i="6" s="1"/>
  <c r="V17" i="18"/>
  <c r="W43" i="6" s="1"/>
  <c r="R33" i="17"/>
  <c r="W28" i="17"/>
  <c r="W27" i="17"/>
  <c r="W16" i="18"/>
  <c r="X29" i="6" s="1"/>
  <c r="X26" i="17"/>
  <c r="W35" i="17" l="1"/>
  <c r="W36" i="17"/>
  <c r="X34" i="17"/>
  <c r="W18" i="18"/>
  <c r="X57" i="6" s="1"/>
  <c r="W17" i="18"/>
  <c r="X43" i="6" s="1"/>
  <c r="S33" i="17"/>
  <c r="X27" i="17"/>
  <c r="X28" i="17"/>
  <c r="X16" i="18"/>
  <c r="Y29" i="6" s="1"/>
  <c r="Y26" i="17"/>
  <c r="X35" i="17" l="1"/>
  <c r="X36" i="17"/>
  <c r="Y34" i="17"/>
  <c r="X17" i="18"/>
  <c r="Y43" i="6" s="1"/>
  <c r="X18" i="18"/>
  <c r="Y57" i="6" s="1"/>
  <c r="T33" i="17"/>
  <c r="Y27" i="17"/>
  <c r="Y28" i="17"/>
  <c r="Y16" i="18"/>
  <c r="Z29" i="6" s="1"/>
  <c r="Z26" i="17"/>
  <c r="Y35" i="17" l="1"/>
  <c r="Y36" i="17"/>
  <c r="Z34" i="17"/>
  <c r="Y17" i="18"/>
  <c r="Z43" i="6" s="1"/>
  <c r="Y18" i="18"/>
  <c r="Z57" i="6" s="1"/>
  <c r="U33" i="17"/>
  <c r="Z27" i="17"/>
  <c r="Z28" i="17"/>
  <c r="AA26" i="17"/>
  <c r="Z36" i="17" l="1"/>
  <c r="Z35" i="17"/>
  <c r="AA34" i="17"/>
  <c r="AA16" i="18"/>
  <c r="AB29" i="6" s="1"/>
  <c r="Z16" i="18"/>
  <c r="AA29" i="6" s="1"/>
  <c r="V33" i="17"/>
  <c r="AA27" i="17"/>
  <c r="AA28" i="17"/>
  <c r="AB26" i="17"/>
  <c r="AA35" i="17" l="1"/>
  <c r="AA36" i="17"/>
  <c r="AB34" i="17"/>
  <c r="C9" i="6" s="1"/>
  <c r="Z17" i="18"/>
  <c r="AA43" i="6" s="1"/>
  <c r="Z18" i="18"/>
  <c r="AA57" i="6" s="1"/>
  <c r="AA18" i="18"/>
  <c r="AB57" i="6" s="1"/>
  <c r="AA17" i="18"/>
  <c r="AB43" i="6" s="1"/>
  <c r="AB16" i="18"/>
  <c r="AC29" i="6" s="1"/>
  <c r="B29" i="6" s="1"/>
  <c r="W33" i="17"/>
  <c r="AB28" i="17"/>
  <c r="AB27" i="17"/>
  <c r="AB35" i="17" l="1"/>
  <c r="AB36" i="17"/>
  <c r="E9" i="6"/>
  <c r="AB18" i="18"/>
  <c r="AC57" i="6" s="1"/>
  <c r="B57" i="6" s="1"/>
  <c r="AB17" i="18"/>
  <c r="AC43" i="6" s="1"/>
  <c r="B43" i="6" s="1"/>
  <c r="X33" i="17"/>
  <c r="D9" i="6" l="1"/>
  <c r="C10" i="6"/>
  <c r="E10" i="6"/>
  <c r="D10" i="6"/>
  <c r="Y33" i="17"/>
  <c r="L19" i="6" l="1"/>
  <c r="K18" i="6"/>
  <c r="Z33" i="17"/>
  <c r="AA33" i="17" l="1"/>
  <c r="AB33" i="17" l="1"/>
  <c r="E40" i="11" l="1"/>
  <c r="F40" i="11" s="1"/>
  <c r="G40" i="11" s="1"/>
  <c r="H40" i="11" s="1"/>
  <c r="I40" i="11" s="1"/>
  <c r="J40" i="11" s="1"/>
  <c r="K40" i="11" s="1"/>
  <c r="L40" i="11" s="1"/>
  <c r="M40" i="11" s="1"/>
  <c r="N40" i="11" s="1"/>
  <c r="O40" i="11" s="1"/>
  <c r="P40" i="11" s="1"/>
  <c r="Q40" i="11" s="1"/>
  <c r="R40" i="11" s="1"/>
  <c r="S40" i="11" s="1"/>
  <c r="T40" i="11" s="1"/>
  <c r="U40" i="11" s="1"/>
  <c r="V40" i="11" s="1"/>
  <c r="W40" i="11" s="1"/>
  <c r="X40" i="11" s="1"/>
  <c r="Y40" i="11" s="1"/>
  <c r="Z40" i="11" s="1"/>
  <c r="AA40" i="11" s="1"/>
  <c r="AB40" i="11" s="1"/>
  <c r="AC40" i="11" s="1"/>
  <c r="AD40" i="11" s="1"/>
  <c r="D6" i="11"/>
  <c r="D23" i="11" s="1"/>
  <c r="C59" i="6" s="1"/>
  <c r="E3" i="11" l="1"/>
  <c r="E5" i="11" s="1"/>
  <c r="D5" i="11"/>
  <c r="D22" i="11" s="1"/>
  <c r="C45" i="6" s="1"/>
  <c r="E22" i="11" l="1"/>
  <c r="D45" i="6" s="1"/>
  <c r="E6" i="11"/>
  <c r="E23" i="11" s="1"/>
  <c r="D59" i="6" s="1"/>
  <c r="F3" i="11"/>
  <c r="G3" i="11" s="1"/>
  <c r="G5" i="11" l="1"/>
  <c r="G22" i="11" s="1"/>
  <c r="F45" i="6" s="1"/>
  <c r="H3" i="11"/>
  <c r="G6" i="11"/>
  <c r="G23" i="11" s="1"/>
  <c r="F59" i="6" s="1"/>
  <c r="F5" i="11"/>
  <c r="F22" i="11" s="1"/>
  <c r="E45" i="6" s="1"/>
  <c r="F6" i="11"/>
  <c r="F23" i="11" s="1"/>
  <c r="E59" i="6" s="1"/>
  <c r="H6" i="11" l="1"/>
  <c r="H23" i="11" s="1"/>
  <c r="G59" i="6" s="1"/>
  <c r="I3" i="11"/>
  <c r="H5" i="11"/>
  <c r="H22" i="11" s="1"/>
  <c r="G45" i="6" s="1"/>
  <c r="J3" i="11" l="1"/>
  <c r="I5" i="11"/>
  <c r="I22" i="11" s="1"/>
  <c r="H45" i="6" s="1"/>
  <c r="I6" i="11"/>
  <c r="I23" i="11" s="1"/>
  <c r="H59" i="6" s="1"/>
  <c r="J5" i="11" l="1"/>
  <c r="J22" i="11" s="1"/>
  <c r="I45" i="6" s="1"/>
  <c r="J6" i="11"/>
  <c r="J23" i="11" s="1"/>
  <c r="I59" i="6" s="1"/>
  <c r="K3" i="11"/>
  <c r="K5" i="11" l="1"/>
  <c r="K22" i="11" s="1"/>
  <c r="J45" i="6" s="1"/>
  <c r="K6" i="11"/>
  <c r="K23" i="11" s="1"/>
  <c r="J59" i="6" s="1"/>
  <c r="L3" i="11"/>
  <c r="L6" i="11" l="1"/>
  <c r="L23" i="11" s="1"/>
  <c r="K59" i="6" s="1"/>
  <c r="L5" i="11"/>
  <c r="L22" i="11" s="1"/>
  <c r="K45" i="6" s="1"/>
  <c r="M3" i="11"/>
  <c r="M5" i="11" l="1"/>
  <c r="M22" i="11" s="1"/>
  <c r="L45" i="6" s="1"/>
  <c r="N3" i="11"/>
  <c r="M6" i="11"/>
  <c r="M23" i="11" s="1"/>
  <c r="L59" i="6" s="1"/>
  <c r="N5" i="11" l="1"/>
  <c r="N22" i="11" s="1"/>
  <c r="M45" i="6" s="1"/>
  <c r="N6" i="11"/>
  <c r="N23" i="11" s="1"/>
  <c r="M59" i="6" s="1"/>
  <c r="O3" i="11"/>
  <c r="O6" i="11" l="1"/>
  <c r="O23" i="11" s="1"/>
  <c r="N59" i="6" s="1"/>
  <c r="O5" i="11"/>
  <c r="O22" i="11" s="1"/>
  <c r="N45" i="6" s="1"/>
  <c r="P3" i="11"/>
  <c r="P6" i="11" l="1"/>
  <c r="P23" i="11" s="1"/>
  <c r="O59" i="6" s="1"/>
  <c r="Q3" i="11"/>
  <c r="P5" i="11"/>
  <c r="P22" i="11" s="1"/>
  <c r="O45" i="6" s="1"/>
  <c r="Q5" i="11" l="1"/>
  <c r="Q22" i="11" s="1"/>
  <c r="P45" i="6" s="1"/>
  <c r="R3" i="11"/>
  <c r="Q6" i="11"/>
  <c r="Q23" i="11" s="1"/>
  <c r="P59" i="6" s="1"/>
  <c r="R5" i="11" l="1"/>
  <c r="R22" i="11" s="1"/>
  <c r="Q45" i="6" s="1"/>
  <c r="R6" i="11"/>
  <c r="R23" i="11" s="1"/>
  <c r="Q59" i="6" s="1"/>
  <c r="S3" i="11"/>
  <c r="S6" i="11" l="1"/>
  <c r="S23" i="11" s="1"/>
  <c r="R59" i="6" s="1"/>
  <c r="S5" i="11"/>
  <c r="S22" i="11" s="1"/>
  <c r="R45" i="6" s="1"/>
  <c r="T3" i="11"/>
  <c r="T5" i="11" l="1"/>
  <c r="T22" i="11" s="1"/>
  <c r="S45" i="6" s="1"/>
  <c r="T6" i="11"/>
  <c r="T23" i="11" s="1"/>
  <c r="S59" i="6" s="1"/>
  <c r="U3" i="11"/>
  <c r="U6" i="11" l="1"/>
  <c r="U23" i="11" s="1"/>
  <c r="T59" i="6" s="1"/>
  <c r="V3" i="11"/>
  <c r="U5" i="11"/>
  <c r="U22" i="11" s="1"/>
  <c r="T45" i="6" s="1"/>
  <c r="V5" i="11" l="1"/>
  <c r="V22" i="11" s="1"/>
  <c r="U45" i="6" s="1"/>
  <c r="W3" i="11"/>
  <c r="V6" i="11"/>
  <c r="V23" i="11" s="1"/>
  <c r="U59" i="6" s="1"/>
  <c r="X3" i="11" l="1"/>
  <c r="W6" i="11"/>
  <c r="W23" i="11" s="1"/>
  <c r="V59" i="6" s="1"/>
  <c r="W5" i="11"/>
  <c r="W22" i="11" s="1"/>
  <c r="V45" i="6" s="1"/>
  <c r="X6" i="11" l="1"/>
  <c r="X23" i="11" s="1"/>
  <c r="W59" i="6" s="1"/>
  <c r="X5" i="11"/>
  <c r="X22" i="11" s="1"/>
  <c r="W45" i="6" s="1"/>
  <c r="Y3" i="11"/>
  <c r="Y5" i="11" l="1"/>
  <c r="Y22" i="11" s="1"/>
  <c r="X45" i="6" s="1"/>
  <c r="Z3" i="11"/>
  <c r="Y6" i="11"/>
  <c r="Y23" i="11" s="1"/>
  <c r="X59" i="6" s="1"/>
  <c r="Z5" i="11" l="1"/>
  <c r="Z22" i="11" s="1"/>
  <c r="Y45" i="6" s="1"/>
  <c r="Z6" i="11"/>
  <c r="Z23" i="11" s="1"/>
  <c r="Y59" i="6" s="1"/>
  <c r="AA3" i="11"/>
  <c r="AA6" i="11" l="1"/>
  <c r="AA23" i="11" s="1"/>
  <c r="Z59" i="6" s="1"/>
  <c r="AA5" i="11"/>
  <c r="AA22" i="11" s="1"/>
  <c r="Z45" i="6" s="1"/>
  <c r="AB3" i="11"/>
  <c r="AB6" i="11" l="1"/>
  <c r="AB23" i="11" s="1"/>
  <c r="AA59" i="6" s="1"/>
  <c r="AB5" i="11"/>
  <c r="AB22" i="11" s="1"/>
  <c r="AA45" i="6" s="1"/>
  <c r="AC3" i="11"/>
  <c r="AD3" i="11" l="1"/>
  <c r="AC6" i="11"/>
  <c r="AC23" i="11" s="1"/>
  <c r="AB59" i="6" s="1"/>
  <c r="AC5" i="11"/>
  <c r="AC22" i="11" s="1"/>
  <c r="AB45" i="6" s="1"/>
  <c r="AD6" i="11" l="1"/>
  <c r="AD23" i="11" s="1"/>
  <c r="AC59" i="6" s="1"/>
  <c r="AD5" i="11"/>
  <c r="AD22" i="11" s="1"/>
  <c r="AC45" i="6" s="1"/>
  <c r="B59" i="6" l="1"/>
  <c r="E12" i="6" s="1"/>
  <c r="B45" i="6"/>
  <c r="D19" i="6" s="1"/>
  <c r="E35" i="11"/>
  <c r="F35" i="11" s="1"/>
  <c r="G35" i="11" s="1"/>
  <c r="H35" i="11" s="1"/>
  <c r="I35" i="11" s="1"/>
  <c r="J35" i="11" s="1"/>
  <c r="K35" i="11" s="1"/>
  <c r="L35" i="11" s="1"/>
  <c r="M35" i="11" s="1"/>
  <c r="N35" i="11" s="1"/>
  <c r="O35" i="11" s="1"/>
  <c r="P35" i="11" s="1"/>
  <c r="Q35" i="11" s="1"/>
  <c r="R35" i="11" s="1"/>
  <c r="S35" i="11" s="1"/>
  <c r="T35" i="11" s="1"/>
  <c r="U35" i="11" s="1"/>
  <c r="V35" i="11" s="1"/>
  <c r="W35" i="11" s="1"/>
  <c r="X35" i="11" s="1"/>
  <c r="Y35" i="11" s="1"/>
  <c r="Z35" i="11" s="1"/>
  <c r="AA35" i="11" s="1"/>
  <c r="AB35" i="11" s="1"/>
  <c r="AC35" i="11" s="1"/>
  <c r="AD35" i="11" s="1"/>
  <c r="E29" i="11"/>
  <c r="F29" i="11" s="1"/>
  <c r="G29" i="11" s="1"/>
  <c r="H29" i="11" s="1"/>
  <c r="I29" i="11" s="1"/>
  <c r="J29" i="11" s="1"/>
  <c r="K29" i="11" s="1"/>
  <c r="L29" i="11" s="1"/>
  <c r="M29" i="11" s="1"/>
  <c r="N29" i="11" s="1"/>
  <c r="O29" i="11" s="1"/>
  <c r="P29" i="11" s="1"/>
  <c r="Q29" i="11" s="1"/>
  <c r="R29" i="11" s="1"/>
  <c r="S29" i="11" s="1"/>
  <c r="T29" i="11" s="1"/>
  <c r="U29" i="11" s="1"/>
  <c r="V29" i="11" s="1"/>
  <c r="W29" i="11" s="1"/>
  <c r="X29" i="11" s="1"/>
  <c r="Y29" i="11" s="1"/>
  <c r="Z29" i="11" s="1"/>
  <c r="AA29" i="11" s="1"/>
  <c r="AB29" i="11" s="1"/>
  <c r="AC29" i="11" s="1"/>
  <c r="AD29" i="11" s="1"/>
  <c r="D32" i="11"/>
  <c r="E32" i="11"/>
  <c r="E41" i="11" s="1"/>
  <c r="F32" i="11"/>
  <c r="F41" i="11" s="1"/>
  <c r="G32" i="11"/>
  <c r="G41" i="11" s="1"/>
  <c r="H32" i="11"/>
  <c r="H41" i="11" s="1"/>
  <c r="I32" i="11"/>
  <c r="I41" i="11" s="1"/>
  <c r="J32" i="11"/>
  <c r="J41" i="11" s="1"/>
  <c r="K32" i="11"/>
  <c r="K41" i="11" s="1"/>
  <c r="L32" i="11"/>
  <c r="L41" i="11" s="1"/>
  <c r="M32" i="11"/>
  <c r="M41" i="11" s="1"/>
  <c r="N32" i="11"/>
  <c r="N41" i="11" s="1"/>
  <c r="O32" i="11"/>
  <c r="O41" i="11" s="1"/>
  <c r="P32" i="11"/>
  <c r="P41" i="11" s="1"/>
  <c r="Q32" i="11"/>
  <c r="Q41" i="11" s="1"/>
  <c r="R32" i="11"/>
  <c r="R41" i="11" s="1"/>
  <c r="S32" i="11"/>
  <c r="S41" i="11" s="1"/>
  <c r="T32" i="11"/>
  <c r="T41" i="11" s="1"/>
  <c r="U32" i="11"/>
  <c r="U41" i="11" s="1"/>
  <c r="V32" i="11"/>
  <c r="V41" i="11" s="1"/>
  <c r="W32" i="11"/>
  <c r="W41" i="11" s="1"/>
  <c r="X32" i="11"/>
  <c r="X41" i="11" s="1"/>
  <c r="Y32" i="11"/>
  <c r="Y41" i="11" s="1"/>
  <c r="Z32" i="11"/>
  <c r="Z41" i="11" s="1"/>
  <c r="AA32" i="11"/>
  <c r="AA41" i="11" s="1"/>
  <c r="AB32" i="11"/>
  <c r="AB41" i="11" s="1"/>
  <c r="AC32" i="11"/>
  <c r="AC41" i="11" s="1"/>
  <c r="AD32" i="11"/>
  <c r="AD41" i="11" s="1"/>
  <c r="AB43" i="11" l="1"/>
  <c r="AB42" i="11"/>
  <c r="Z42" i="11"/>
  <c r="Z43" i="11"/>
  <c r="H42" i="11"/>
  <c r="H43" i="11"/>
  <c r="W42" i="11"/>
  <c r="W43" i="11"/>
  <c r="O42" i="11"/>
  <c r="O43" i="11"/>
  <c r="G42" i="11"/>
  <c r="G43" i="11"/>
  <c r="P43" i="11"/>
  <c r="P42" i="11"/>
  <c r="V43" i="11"/>
  <c r="V42" i="11"/>
  <c r="N42" i="11"/>
  <c r="N43" i="11"/>
  <c r="AA43" i="11"/>
  <c r="AA42" i="11"/>
  <c r="X42" i="11"/>
  <c r="W44" i="6" s="1"/>
  <c r="W47" i="6" s="1"/>
  <c r="X43" i="11"/>
  <c r="AD42" i="11"/>
  <c r="AC44" i="6" s="1"/>
  <c r="AD43" i="11"/>
  <c r="AC42" i="11"/>
  <c r="AC43" i="11"/>
  <c r="U42" i="11"/>
  <c r="U43" i="11"/>
  <c r="M42" i="11"/>
  <c r="M43" i="11"/>
  <c r="T43" i="11"/>
  <c r="T42" i="11"/>
  <c r="L43" i="11"/>
  <c r="L42" i="11"/>
  <c r="S43" i="11"/>
  <c r="S42" i="11"/>
  <c r="R42" i="11"/>
  <c r="Q44" i="6" s="1"/>
  <c r="Q47" i="6" s="1"/>
  <c r="R43" i="11"/>
  <c r="J43" i="11"/>
  <c r="J42" i="11"/>
  <c r="Y42" i="11"/>
  <c r="Y43" i="11"/>
  <c r="Q42" i="11"/>
  <c r="Q43" i="11"/>
  <c r="I43" i="11"/>
  <c r="I42" i="11"/>
  <c r="F42" i="11"/>
  <c r="F43" i="11"/>
  <c r="E42" i="11"/>
  <c r="E43" i="11"/>
  <c r="D41" i="11"/>
  <c r="K43" i="11"/>
  <c r="K42" i="11"/>
  <c r="D30" i="6"/>
  <c r="D33" i="6" s="1"/>
  <c r="X58" i="6"/>
  <c r="X61" i="6" s="1"/>
  <c r="P58" i="6"/>
  <c r="P61" i="6" s="1"/>
  <c r="J30" i="6"/>
  <c r="J33" i="6" s="1"/>
  <c r="V44" i="6"/>
  <c r="V47" i="6" s="1"/>
  <c r="H30" i="6"/>
  <c r="H33" i="6" s="1"/>
  <c r="AB58" i="6"/>
  <c r="AB61" i="6" s="1"/>
  <c r="T44" i="6"/>
  <c r="T47" i="6" s="1"/>
  <c r="G30" i="6"/>
  <c r="G33" i="6" s="1"/>
  <c r="G44" i="6"/>
  <c r="G47" i="6" s="1"/>
  <c r="AA58" i="6"/>
  <c r="AA61" i="6" s="1"/>
  <c r="S44" i="6"/>
  <c r="S47" i="6" s="1"/>
  <c r="F30" i="6"/>
  <c r="F33" i="6" s="1"/>
  <c r="F58" i="6"/>
  <c r="F61" i="6" s="1"/>
  <c r="Z58" i="6"/>
  <c r="Z61" i="6" s="1"/>
  <c r="R30" i="6"/>
  <c r="R33" i="6" s="1"/>
  <c r="E30" i="6"/>
  <c r="E33" i="6" s="1"/>
  <c r="E44" i="6"/>
  <c r="E47" i="6" s="1"/>
  <c r="N58" i="6"/>
  <c r="N61" i="6" s="1"/>
  <c r="AA30" i="6"/>
  <c r="AA33" i="6" s="1"/>
  <c r="Y44" i="6"/>
  <c r="Y47" i="6" s="1"/>
  <c r="Y58" i="6"/>
  <c r="Y61" i="6" s="1"/>
  <c r="Y30" i="6"/>
  <c r="Y33" i="6" s="1"/>
  <c r="W58" i="6"/>
  <c r="W61" i="6" s="1"/>
  <c r="W30" i="6"/>
  <c r="W33" i="6" s="1"/>
  <c r="T58" i="6"/>
  <c r="T61" i="6" s="1"/>
  <c r="T30" i="6"/>
  <c r="T33" i="6" s="1"/>
  <c r="S58" i="6"/>
  <c r="S61" i="6" s="1"/>
  <c r="V58" i="6"/>
  <c r="V61" i="6" s="1"/>
  <c r="V30" i="6"/>
  <c r="V33" i="6" s="1"/>
  <c r="Q58" i="6"/>
  <c r="Q61" i="6" s="1"/>
  <c r="Q30" i="6"/>
  <c r="Q33" i="6" s="1"/>
  <c r="U44" i="6"/>
  <c r="U47" i="6" s="1"/>
  <c r="U58" i="6"/>
  <c r="U61" i="6" s="1"/>
  <c r="U30" i="6"/>
  <c r="U33" i="6" s="1"/>
  <c r="O44" i="6"/>
  <c r="O47" i="6" s="1"/>
  <c r="O58" i="6"/>
  <c r="O61" i="6" s="1"/>
  <c r="O30" i="6"/>
  <c r="O33" i="6" s="1"/>
  <c r="D12" i="6"/>
  <c r="B30" i="4"/>
  <c r="D29" i="4"/>
  <c r="C29" i="4"/>
  <c r="D43" i="11" l="1"/>
  <c r="D42" i="11"/>
  <c r="C30" i="6"/>
  <c r="AC47" i="6"/>
  <c r="Z30" i="6"/>
  <c r="Z33" i="6" s="1"/>
  <c r="P44" i="6"/>
  <c r="P47" i="6" s="1"/>
  <c r="Z44" i="6"/>
  <c r="Z47" i="6" s="1"/>
  <c r="R44" i="6"/>
  <c r="R47" i="6" s="1"/>
  <c r="R58" i="6"/>
  <c r="R61" i="6" s="1"/>
  <c r="AC30" i="6"/>
  <c r="AC33" i="6" s="1"/>
  <c r="AC58" i="6"/>
  <c r="AC61" i="6" s="1"/>
  <c r="X30" i="6"/>
  <c r="X33" i="6" s="1"/>
  <c r="X44" i="6"/>
  <c r="X47" i="6" s="1"/>
  <c r="AA44" i="6"/>
  <c r="AA47" i="6" s="1"/>
  <c r="D44" i="6"/>
  <c r="D47" i="6" s="1"/>
  <c r="D58" i="6"/>
  <c r="D61" i="6" s="1"/>
  <c r="P30" i="6"/>
  <c r="P33" i="6" s="1"/>
  <c r="AB44" i="6"/>
  <c r="AB47" i="6" s="1"/>
  <c r="S30" i="6"/>
  <c r="S33" i="6" s="1"/>
  <c r="AB30" i="6"/>
  <c r="AB33" i="6" s="1"/>
  <c r="I30" i="6"/>
  <c r="I33" i="6" s="1"/>
  <c r="I58" i="6"/>
  <c r="I61" i="6" s="1"/>
  <c r="I44" i="6"/>
  <c r="I47" i="6" s="1"/>
  <c r="N30" i="6"/>
  <c r="N33" i="6" s="1"/>
  <c r="N44" i="6"/>
  <c r="N47" i="6" s="1"/>
  <c r="M30" i="6"/>
  <c r="M33" i="6" s="1"/>
  <c r="M44" i="6"/>
  <c r="M47" i="6" s="1"/>
  <c r="M58" i="6"/>
  <c r="M61" i="6" s="1"/>
  <c r="L30" i="6"/>
  <c r="L33" i="6" s="1"/>
  <c r="L44" i="6"/>
  <c r="L47" i="6" s="1"/>
  <c r="L58" i="6"/>
  <c r="L61" i="6" s="1"/>
  <c r="K30" i="6"/>
  <c r="K44" i="6"/>
  <c r="K47" i="6" s="1"/>
  <c r="K58" i="6"/>
  <c r="K61" i="6" s="1"/>
  <c r="G58" i="6"/>
  <c r="G61" i="6" s="1"/>
  <c r="F44" i="6"/>
  <c r="F47" i="6" s="1"/>
  <c r="E58" i="6"/>
  <c r="E61" i="6" s="1"/>
  <c r="H58" i="6"/>
  <c r="H61" i="6" s="1"/>
  <c r="H44" i="6"/>
  <c r="H47" i="6" s="1"/>
  <c r="C58" i="6"/>
  <c r="C44" i="6"/>
  <c r="C47" i="6" s="1"/>
  <c r="J58" i="6"/>
  <c r="J61" i="6" s="1"/>
  <c r="J44" i="6"/>
  <c r="J47" i="6" s="1"/>
  <c r="I30" i="4"/>
  <c r="K26" i="4"/>
  <c r="E53" i="6"/>
  <c r="F53" i="6"/>
  <c r="G53" i="6"/>
  <c r="H53" i="6"/>
  <c r="I53" i="6"/>
  <c r="J53" i="6"/>
  <c r="K53" i="6"/>
  <c r="L53" i="6"/>
  <c r="M53" i="6"/>
  <c r="N53" i="6"/>
  <c r="O53" i="6"/>
  <c r="P53" i="6"/>
  <c r="Q53" i="6"/>
  <c r="R53" i="6"/>
  <c r="S53" i="6"/>
  <c r="T53" i="6"/>
  <c r="U53" i="6"/>
  <c r="V53" i="6"/>
  <c r="W53" i="6"/>
  <c r="X53" i="6"/>
  <c r="Y53" i="6"/>
  <c r="Z53" i="6"/>
  <c r="AA53" i="6"/>
  <c r="AB53" i="6"/>
  <c r="AC53" i="6"/>
  <c r="E39" i="6"/>
  <c r="F39" i="6"/>
  <c r="G39" i="6"/>
  <c r="H39" i="6"/>
  <c r="I39" i="6"/>
  <c r="J39" i="6"/>
  <c r="K39" i="6"/>
  <c r="L39" i="6"/>
  <c r="M39" i="6"/>
  <c r="N39" i="6"/>
  <c r="O39" i="6"/>
  <c r="P39" i="6"/>
  <c r="Q39" i="6"/>
  <c r="R39" i="6"/>
  <c r="S39" i="6"/>
  <c r="T39" i="6"/>
  <c r="U39" i="6"/>
  <c r="V39" i="6"/>
  <c r="W39" i="6"/>
  <c r="X39" i="6"/>
  <c r="Y39" i="6"/>
  <c r="Z39" i="6"/>
  <c r="AA39" i="6"/>
  <c r="AB39" i="6"/>
  <c r="AC39" i="6"/>
  <c r="E25" i="6"/>
  <c r="F25" i="6"/>
  <c r="G25" i="6"/>
  <c r="H25" i="6"/>
  <c r="I25" i="6"/>
  <c r="J25" i="6"/>
  <c r="K25" i="6"/>
  <c r="L25" i="6"/>
  <c r="M25" i="6"/>
  <c r="N25" i="6"/>
  <c r="O25" i="6"/>
  <c r="P25" i="6"/>
  <c r="Q25" i="6"/>
  <c r="R25" i="6"/>
  <c r="S25" i="6"/>
  <c r="T25" i="6"/>
  <c r="U25" i="6"/>
  <c r="V25" i="6"/>
  <c r="W25" i="6"/>
  <c r="X25" i="6"/>
  <c r="Y25" i="6"/>
  <c r="Z25" i="6"/>
  <c r="AA25" i="6"/>
  <c r="AB25" i="6"/>
  <c r="AC25" i="6"/>
  <c r="D52" i="6"/>
  <c r="E52" i="6" s="1"/>
  <c r="F52" i="6" s="1"/>
  <c r="G52" i="6" s="1"/>
  <c r="H52" i="6" s="1"/>
  <c r="I52" i="6" s="1"/>
  <c r="J52" i="6" s="1"/>
  <c r="K52" i="6" s="1"/>
  <c r="L52" i="6" s="1"/>
  <c r="M52" i="6" s="1"/>
  <c r="N52" i="6" s="1"/>
  <c r="O52" i="6" s="1"/>
  <c r="P52" i="6" s="1"/>
  <c r="Q52" i="6" s="1"/>
  <c r="R52" i="6" s="1"/>
  <c r="S52" i="6" s="1"/>
  <c r="T52" i="6" s="1"/>
  <c r="U52" i="6" s="1"/>
  <c r="V52" i="6" s="1"/>
  <c r="W52" i="6" s="1"/>
  <c r="X52" i="6" s="1"/>
  <c r="Y52" i="6" s="1"/>
  <c r="Z52" i="6" s="1"/>
  <c r="AA52" i="6" s="1"/>
  <c r="AB52" i="6" s="1"/>
  <c r="AC52" i="6" s="1"/>
  <c r="D38" i="6"/>
  <c r="E38" i="6" s="1"/>
  <c r="F38" i="6" s="1"/>
  <c r="G38" i="6" s="1"/>
  <c r="H38" i="6" s="1"/>
  <c r="I38" i="6" s="1"/>
  <c r="J38" i="6" s="1"/>
  <c r="K38" i="6" s="1"/>
  <c r="L38" i="6" s="1"/>
  <c r="M38" i="6" s="1"/>
  <c r="N38" i="6" s="1"/>
  <c r="O38" i="6" s="1"/>
  <c r="P38" i="6" s="1"/>
  <c r="Q38" i="6" s="1"/>
  <c r="R38" i="6" s="1"/>
  <c r="S38" i="6" s="1"/>
  <c r="T38" i="6" s="1"/>
  <c r="U38" i="6" s="1"/>
  <c r="V38" i="6" s="1"/>
  <c r="W38" i="6" s="1"/>
  <c r="X38" i="6" s="1"/>
  <c r="Y38" i="6" s="1"/>
  <c r="Z38" i="6" s="1"/>
  <c r="AA38" i="6" s="1"/>
  <c r="AB38" i="6" s="1"/>
  <c r="AC38" i="6" s="1"/>
  <c r="D24" i="6"/>
  <c r="E24" i="6" s="1"/>
  <c r="F24" i="6" s="1"/>
  <c r="G24" i="6" s="1"/>
  <c r="H24" i="6" s="1"/>
  <c r="I24" i="6" s="1"/>
  <c r="J24" i="6" s="1"/>
  <c r="K24" i="6" s="1"/>
  <c r="L24" i="6" s="1"/>
  <c r="M24" i="6" s="1"/>
  <c r="N24" i="6" s="1"/>
  <c r="O24" i="6" s="1"/>
  <c r="P24" i="6" s="1"/>
  <c r="Q24" i="6" s="1"/>
  <c r="R24" i="6" s="1"/>
  <c r="S24" i="6" s="1"/>
  <c r="T24" i="6" s="1"/>
  <c r="U24" i="6" s="1"/>
  <c r="V24" i="6" s="1"/>
  <c r="W24" i="6" s="1"/>
  <c r="X24" i="6" s="1"/>
  <c r="Y24" i="6" s="1"/>
  <c r="Z24" i="6" s="1"/>
  <c r="AA24" i="6" s="1"/>
  <c r="AB24" i="6" s="1"/>
  <c r="AC24" i="6" s="1"/>
  <c r="B44" i="6" l="1"/>
  <c r="K33" i="6"/>
  <c r="B30" i="6"/>
  <c r="C11" i="6" s="1"/>
  <c r="B58" i="6"/>
  <c r="C61" i="6"/>
  <c r="C33" i="6"/>
  <c r="D11" i="6" l="1"/>
  <c r="E11" i="6"/>
  <c r="B33" i="6"/>
  <c r="B47" i="6"/>
  <c r="D25" i="6" l="1"/>
  <c r="C25" i="6"/>
  <c r="B25" i="6" l="1"/>
  <c r="C6" i="6" s="1"/>
  <c r="C13" i="6" s="1"/>
  <c r="C17" i="6" s="1"/>
  <c r="C20" i="6" s="1"/>
  <c r="D39" i="6"/>
  <c r="D53" i="6"/>
  <c r="C39" i="6"/>
  <c r="B39" i="6" s="1"/>
  <c r="C53" i="6"/>
  <c r="E249" i="14"/>
  <c r="D43" i="10"/>
  <c r="D44" i="10"/>
  <c r="D45" i="10"/>
  <c r="D46" i="10"/>
  <c r="B53" i="6" l="1"/>
  <c r="E6" i="6" s="1"/>
  <c r="E13" i="6" s="1"/>
  <c r="E17" i="6" s="1"/>
  <c r="D6" i="6"/>
  <c r="D13" i="6" s="1"/>
  <c r="D17" i="6" s="1"/>
  <c r="L21" i="4"/>
  <c r="M21" i="4"/>
  <c r="N21" i="4"/>
  <c r="O21" i="4"/>
  <c r="P21" i="4"/>
  <c r="Q21" i="4"/>
  <c r="R21" i="4"/>
  <c r="K21" i="4"/>
  <c r="D21" i="6" l="1"/>
  <c r="H18" i="6"/>
  <c r="H21" i="6" s="1"/>
  <c r="L21" i="6"/>
  <c r="L20" i="6"/>
  <c r="O21" i="6"/>
  <c r="K21" i="6"/>
  <c r="H20" i="6"/>
  <c r="O20" i="6"/>
  <c r="N21" i="6"/>
  <c r="N20" i="6"/>
  <c r="I19" i="6"/>
  <c r="I20" i="6" s="1"/>
  <c r="K20" i="6"/>
  <c r="N32" i="6"/>
  <c r="N34" i="6" s="1"/>
  <c r="I32" i="6"/>
  <c r="I34" i="6" s="1"/>
  <c r="L32" i="6"/>
  <c r="L34" i="6" s="1"/>
  <c r="T32" i="6"/>
  <c r="T34" i="6" s="1"/>
  <c r="V32" i="6"/>
  <c r="V34" i="6" s="1"/>
  <c r="C32" i="6"/>
  <c r="C34" i="6" s="1"/>
  <c r="I21" i="6" l="1"/>
  <c r="W32" i="6"/>
  <c r="W34" i="6" s="1"/>
  <c r="F46" i="6"/>
  <c r="F48" i="6" s="1"/>
  <c r="F60" i="6"/>
  <c r="F62" i="6" s="1"/>
  <c r="G60" i="6"/>
  <c r="G62" i="6" s="1"/>
  <c r="P32" i="6"/>
  <c r="P34" i="6" s="1"/>
  <c r="Z32" i="6"/>
  <c r="Z34" i="6" s="1"/>
  <c r="J32" i="6"/>
  <c r="J34" i="6" s="1"/>
  <c r="O32" i="6"/>
  <c r="O34" i="6" s="1"/>
  <c r="Y32" i="6"/>
  <c r="Y34" i="6" s="1"/>
  <c r="D46" i="6"/>
  <c r="D48" i="6" s="1"/>
  <c r="D32" i="6"/>
  <c r="D34" i="6" s="1"/>
  <c r="AB32" i="6"/>
  <c r="AB34" i="6" s="1"/>
  <c r="K32" i="6"/>
  <c r="K34" i="6" s="1"/>
  <c r="S32" i="6"/>
  <c r="S34" i="6" s="1"/>
  <c r="H32" i="6"/>
  <c r="H34" i="6" s="1"/>
  <c r="F32" i="6"/>
  <c r="F34" i="6" s="1"/>
  <c r="X32" i="6"/>
  <c r="X34" i="6" s="1"/>
  <c r="G32" i="6"/>
  <c r="G34" i="6" s="1"/>
  <c r="AA32" i="6"/>
  <c r="AA34" i="6" s="1"/>
  <c r="AC32" i="6"/>
  <c r="AC34" i="6" s="1"/>
  <c r="G46" i="6"/>
  <c r="G48" i="6" s="1"/>
  <c r="R32" i="6"/>
  <c r="R34" i="6" s="1"/>
  <c r="Q32" i="6"/>
  <c r="Q34" i="6" s="1"/>
  <c r="M32" i="6"/>
  <c r="M34" i="6" s="1"/>
  <c r="E32" i="6"/>
  <c r="E34" i="6" s="1"/>
  <c r="U32" i="6"/>
  <c r="U34" i="6" s="1"/>
  <c r="E60" i="6"/>
  <c r="E62" i="6" s="1"/>
  <c r="E46" i="6"/>
  <c r="E48" i="6" s="1"/>
  <c r="D60" i="6"/>
  <c r="D62" i="6" s="1"/>
  <c r="H46" i="6"/>
  <c r="H48" i="6" s="1"/>
  <c r="H60" i="6"/>
  <c r="H62" i="6" s="1"/>
  <c r="C60" i="6" l="1"/>
  <c r="C62" i="6" s="1"/>
  <c r="C35" i="6"/>
  <c r="I60" i="6"/>
  <c r="I62" i="6" s="1"/>
  <c r="I46" i="6"/>
  <c r="I48" i="6" s="1"/>
  <c r="B32" i="6" l="1"/>
  <c r="B34" i="6"/>
  <c r="D35" i="6"/>
  <c r="E35" i="6" s="1"/>
  <c r="F35" i="6" s="1"/>
  <c r="G35" i="6" s="1"/>
  <c r="H35" i="6" s="1"/>
  <c r="I35" i="6" s="1"/>
  <c r="J35" i="6" s="1"/>
  <c r="K35" i="6" s="1"/>
  <c r="L35" i="6" s="1"/>
  <c r="M35" i="6" s="1"/>
  <c r="N35" i="6" s="1"/>
  <c r="O35" i="6" s="1"/>
  <c r="P35" i="6" s="1"/>
  <c r="Q35" i="6" s="1"/>
  <c r="R35" i="6" s="1"/>
  <c r="S35" i="6" s="1"/>
  <c r="T35" i="6" s="1"/>
  <c r="U35" i="6" s="1"/>
  <c r="V35" i="6" s="1"/>
  <c r="W35" i="6" s="1"/>
  <c r="X35" i="6" s="1"/>
  <c r="Y35" i="6" s="1"/>
  <c r="Z35" i="6" s="1"/>
  <c r="AA35" i="6" s="1"/>
  <c r="AB35" i="6" s="1"/>
  <c r="AC35" i="6" s="1"/>
  <c r="C46" i="6"/>
  <c r="C48" i="6" s="1"/>
  <c r="J60" i="6"/>
  <c r="J62" i="6" s="1"/>
  <c r="J46" i="6"/>
  <c r="J48" i="6" l="1"/>
  <c r="C21" i="6"/>
  <c r="C49" i="6"/>
  <c r="D49" i="6" s="1"/>
  <c r="E49" i="6" s="1"/>
  <c r="F49" i="6" s="1"/>
  <c r="G49" i="6" s="1"/>
  <c r="H49" i="6" s="1"/>
  <c r="I49" i="6" s="1"/>
  <c r="K46" i="6"/>
  <c r="K48" i="6" s="1"/>
  <c r="K60" i="6"/>
  <c r="K62" i="6" s="1"/>
  <c r="J49" i="6" l="1"/>
  <c r="L46" i="6"/>
  <c r="L48" i="6" s="1"/>
  <c r="L60" i="6"/>
  <c r="L62" i="6" s="1"/>
  <c r="K49" i="6" l="1"/>
  <c r="M46" i="6"/>
  <c r="M48" i="6" s="1"/>
  <c r="M60" i="6"/>
  <c r="M62" i="6" s="1"/>
  <c r="L49" i="6" l="1"/>
  <c r="N46" i="6"/>
  <c r="N48" i="6" s="1"/>
  <c r="N60" i="6"/>
  <c r="N62" i="6" s="1"/>
  <c r="M49" i="6" l="1"/>
  <c r="O46" i="6"/>
  <c r="O48" i="6" s="1"/>
  <c r="O60" i="6"/>
  <c r="O62" i="6" s="1"/>
  <c r="N49" i="6" l="1"/>
  <c r="P46" i="6"/>
  <c r="P48" i="6" s="1"/>
  <c r="P60" i="6"/>
  <c r="P62" i="6" s="1"/>
  <c r="O49" i="6" l="1"/>
  <c r="Q60" i="6"/>
  <c r="Q62" i="6" s="1"/>
  <c r="Q46" i="6"/>
  <c r="Q48" i="6" s="1"/>
  <c r="P49" i="6" l="1"/>
  <c r="R60" i="6"/>
  <c r="R62" i="6" s="1"/>
  <c r="R46" i="6"/>
  <c r="R48" i="6" s="1"/>
  <c r="Q49" i="6" l="1"/>
  <c r="S46" i="6"/>
  <c r="S48" i="6" s="1"/>
  <c r="S60" i="6"/>
  <c r="S62" i="6" s="1"/>
  <c r="R49" i="6" l="1"/>
  <c r="T46" i="6"/>
  <c r="T48" i="6" s="1"/>
  <c r="T60" i="6"/>
  <c r="T62" i="6" s="1"/>
  <c r="S49" i="6" l="1"/>
  <c r="U46" i="6"/>
  <c r="U48" i="6" s="1"/>
  <c r="U60" i="6"/>
  <c r="U62" i="6" s="1"/>
  <c r="T49" i="6" l="1"/>
  <c r="V46" i="6"/>
  <c r="V48" i="6" s="1"/>
  <c r="V60" i="6"/>
  <c r="V62" i="6" s="1"/>
  <c r="U49" i="6" l="1"/>
  <c r="W46" i="6"/>
  <c r="W48" i="6" s="1"/>
  <c r="W60" i="6"/>
  <c r="W62" i="6" s="1"/>
  <c r="V49" i="6" l="1"/>
  <c r="X46" i="6"/>
  <c r="X48" i="6" s="1"/>
  <c r="X60" i="6"/>
  <c r="X62" i="6" s="1"/>
  <c r="W49" i="6" l="1"/>
  <c r="Y60" i="6"/>
  <c r="Y62" i="6" s="1"/>
  <c r="Y46" i="6"/>
  <c r="Y48" i="6" s="1"/>
  <c r="X49" i="6" l="1"/>
  <c r="Z60" i="6"/>
  <c r="Z62" i="6" s="1"/>
  <c r="Z46" i="6"/>
  <c r="Z48" i="6" s="1"/>
  <c r="Y49" i="6" l="1"/>
  <c r="AA46" i="6"/>
  <c r="AA48" i="6" s="1"/>
  <c r="AA60" i="6"/>
  <c r="AA62" i="6" s="1"/>
  <c r="Z49" i="6" l="1"/>
  <c r="AB46" i="6"/>
  <c r="AB48" i="6" s="1"/>
  <c r="AB60" i="6"/>
  <c r="AB62" i="6" s="1"/>
  <c r="AA49" i="6" l="1"/>
  <c r="AC46" i="6"/>
  <c r="AC60" i="6"/>
  <c r="AC62" i="6" s="1"/>
  <c r="AC48" i="6" l="1"/>
  <c r="B48" i="6" s="1"/>
  <c r="B46" i="6"/>
  <c r="AB49" i="6"/>
  <c r="B60" i="6"/>
  <c r="D20" i="6" l="1"/>
  <c r="AC49" i="6"/>
  <c r="E13" i="4"/>
  <c r="F12" i="4"/>
  <c r="F14" i="4"/>
  <c r="D17" i="4"/>
  <c r="D16" i="4"/>
  <c r="B16" i="4"/>
  <c r="B17" i="4"/>
  <c r="B61" i="6"/>
  <c r="E19" i="6" l="1"/>
  <c r="E21" i="6" s="1"/>
  <c r="C63" i="6"/>
  <c r="D63" i="6" s="1"/>
  <c r="E63" i="6" s="1"/>
  <c r="F63" i="6" s="1"/>
  <c r="G63" i="6" s="1"/>
  <c r="H63" i="6" s="1"/>
  <c r="I63" i="6" s="1"/>
  <c r="J63" i="6" s="1"/>
  <c r="K63" i="6" s="1"/>
  <c r="L63" i="6" s="1"/>
  <c r="M63" i="6" s="1"/>
  <c r="N63" i="6" s="1"/>
  <c r="O63" i="6" s="1"/>
  <c r="P63" i="6" s="1"/>
  <c r="Q63" i="6" s="1"/>
  <c r="R63" i="6" s="1"/>
  <c r="S63" i="6" s="1"/>
  <c r="T63" i="6" s="1"/>
  <c r="U63" i="6" s="1"/>
  <c r="V63" i="6" s="1"/>
  <c r="W63" i="6" s="1"/>
  <c r="X63" i="6" s="1"/>
  <c r="Y63" i="6" s="1"/>
  <c r="Z63" i="6" s="1"/>
  <c r="AA63" i="6" s="1"/>
  <c r="AB63" i="6" s="1"/>
  <c r="AC63" i="6" s="1"/>
  <c r="B62" i="6"/>
  <c r="F13" i="4"/>
  <c r="E17" i="4"/>
  <c r="E20" i="6" l="1"/>
</calcChain>
</file>

<file path=xl/sharedStrings.xml><?xml version="1.0" encoding="utf-8"?>
<sst xmlns="http://schemas.openxmlformats.org/spreadsheetml/2006/main" count="1334" uniqueCount="400">
  <si>
    <t>walking</t>
  </si>
  <si>
    <t>cycling</t>
  </si>
  <si>
    <t>value per induced trip</t>
  </si>
  <si>
    <t>20-74</t>
  </si>
  <si>
    <t>20-64</t>
  </si>
  <si>
    <t>Unit</t>
  </si>
  <si>
    <t xml:space="preserve">Value </t>
  </si>
  <si>
    <t>%</t>
  </si>
  <si>
    <t>reduction in crash risk or severity</t>
  </si>
  <si>
    <t>type of crashes</t>
  </si>
  <si>
    <t>injuries</t>
  </si>
  <si>
    <t>fatalities</t>
  </si>
  <si>
    <t>property damages</t>
  </si>
  <si>
    <t>pedestrians</t>
  </si>
  <si>
    <t>3 in 2019</t>
  </si>
  <si>
    <t>total fatalities</t>
  </si>
  <si>
    <t>33 in 2019</t>
  </si>
  <si>
    <t>bastrop county</t>
  </si>
  <si>
    <t>NHTSA</t>
  </si>
  <si>
    <t>source</t>
  </si>
  <si>
    <t>US</t>
  </si>
  <si>
    <t>Bastrop County</t>
  </si>
  <si>
    <t>TX</t>
  </si>
  <si>
    <t>total</t>
  </si>
  <si>
    <t>2019 killed</t>
  </si>
  <si>
    <t>injured</t>
  </si>
  <si>
    <t>2.74 million</t>
  </si>
  <si>
    <t>Source: NHTSA Traffic Safety Facts 2019</t>
  </si>
  <si>
    <t>Total</t>
  </si>
  <si>
    <t>Value</t>
  </si>
  <si>
    <t>Calculated from above.</t>
  </si>
  <si>
    <t>Year</t>
  </si>
  <si>
    <t>Fatality</t>
  </si>
  <si>
    <t>$/Victim</t>
  </si>
  <si>
    <t>Injury</t>
  </si>
  <si>
    <t>No Injury/ PDO</t>
  </si>
  <si>
    <t>Miles</t>
  </si>
  <si>
    <t>Minutes</t>
  </si>
  <si>
    <t>-</t>
  </si>
  <si>
    <t>Passenger Vehicles</t>
  </si>
  <si>
    <t>$ per mile</t>
  </si>
  <si>
    <t>Trucks</t>
  </si>
  <si>
    <t>Undiscounted</t>
  </si>
  <si>
    <t xml:space="preserve">Reduction in Accident Costs </t>
  </si>
  <si>
    <t>Total Benefits</t>
  </si>
  <si>
    <t>Total Costs</t>
  </si>
  <si>
    <t>Vehicle Operating Costs</t>
  </si>
  <si>
    <t>Impact Category</t>
  </si>
  <si>
    <t>O&amp;M Costs</t>
  </si>
  <si>
    <t>Capital Costs</t>
  </si>
  <si>
    <t>Net Impacts</t>
  </si>
  <si>
    <t>Cumulative Net Impacts</t>
  </si>
  <si>
    <t>Results - Undiscounted 2020$</t>
  </si>
  <si>
    <t>Mortality Reduction Benefits</t>
  </si>
  <si>
    <t>Project-Related Costs</t>
  </si>
  <si>
    <t>Base Year</t>
  </si>
  <si>
    <t>Data Input</t>
  </si>
  <si>
    <t>Benefits Index</t>
  </si>
  <si>
    <t>Discount Factor</t>
  </si>
  <si>
    <t xml:space="preserve">Construction Cost </t>
  </si>
  <si>
    <t>Total Estimated Cost</t>
  </si>
  <si>
    <t>Number</t>
  </si>
  <si>
    <t xml:space="preserve">No Build Case Alternative </t>
  </si>
  <si>
    <t>$/year</t>
  </si>
  <si>
    <t>No Build Less Build</t>
  </si>
  <si>
    <t>Undiscounted Impacts</t>
  </si>
  <si>
    <t>Discounted Impacts, at 7%</t>
  </si>
  <si>
    <t>Discounted Impacts, at 3%</t>
  </si>
  <si>
    <t>General Inputs</t>
  </si>
  <si>
    <t>Units</t>
  </si>
  <si>
    <t>Source/Comment</t>
  </si>
  <si>
    <t>Real Discount Factor</t>
  </si>
  <si>
    <t>Real Discount Factor - Sensitivity</t>
  </si>
  <si>
    <t>Base Year of Analysis</t>
  </si>
  <si>
    <t>First Year of Benefits</t>
  </si>
  <si>
    <t>Length of Analysis</t>
  </si>
  <si>
    <t>End Year of Analysis</t>
  </si>
  <si>
    <t>National Bridge Inventory (NBI) Identifier (Bridge #)</t>
  </si>
  <si>
    <t>NBI.</t>
  </si>
  <si>
    <t xml:space="preserve">Time/Data start construction </t>
  </si>
  <si>
    <t xml:space="preserve">Time/Data end construction </t>
  </si>
  <si>
    <t>Index</t>
  </si>
  <si>
    <t>Office of Management and Budget- Table 10.1 Gross Domestic Product and Deflators used in the historical Tables: 1940-2025.</t>
  </si>
  <si>
    <t>Traffic Inputs</t>
  </si>
  <si>
    <t>Traffic Rate of Growth</t>
  </si>
  <si>
    <t>Typical Route Length</t>
  </si>
  <si>
    <t>Calculated based on Google maps.</t>
  </si>
  <si>
    <t>Typical Route Travel Time</t>
  </si>
  <si>
    <t>Number per 100m VMT</t>
  </si>
  <si>
    <t>Average Vehicle Occupancy</t>
  </si>
  <si>
    <t>persons per vehicle</t>
  </si>
  <si>
    <t>CMF</t>
  </si>
  <si>
    <t>Annualization Factor</t>
  </si>
  <si>
    <t>Valuation Parameters</t>
  </si>
  <si>
    <t>Value of Time</t>
  </si>
  <si>
    <t>Autos</t>
  </si>
  <si>
    <t>$/h</t>
  </si>
  <si>
    <t>Accident Costs</t>
  </si>
  <si>
    <t>$/vehicle</t>
  </si>
  <si>
    <t>Emissions Inputs</t>
  </si>
  <si>
    <t>Emission Cost</t>
  </si>
  <si>
    <t>NOX</t>
  </si>
  <si>
    <t>PM</t>
  </si>
  <si>
    <t>SOX</t>
  </si>
  <si>
    <t>US DOT, Benefit-Cost Analysis Guidance for Discretionary Grants Program, FOR ALL TRAVEL</t>
  </si>
  <si>
    <t xml:space="preserve">     Bike/Ped</t>
  </si>
  <si>
    <t>$/hr</t>
  </si>
  <si>
    <t>US DOT, Benefit-Cost Analysis Guidance for Discretionary Grants Program, March 2022</t>
  </si>
  <si>
    <t>0.25 mile</t>
  </si>
  <si>
    <t>$/metric ton</t>
  </si>
  <si>
    <t>CMF ID</t>
  </si>
  <si>
    <t>Study Title</t>
  </si>
  <si>
    <t>Countermeasure Category</t>
  </si>
  <si>
    <t>Countermeasure Subcategory</t>
  </si>
  <si>
    <t>Countermeasure</t>
  </si>
  <si>
    <t>CRF</t>
  </si>
  <si>
    <t>Crash Type</t>
  </si>
  <si>
    <t>KABCO Crash Severity</t>
  </si>
  <si>
    <t>Roadway Type</t>
  </si>
  <si>
    <t>Area Type</t>
  </si>
  <si>
    <t>Publication Year</t>
  </si>
  <si>
    <t>Star Quality Rating</t>
  </si>
  <si>
    <t>Total Quality Points</t>
  </si>
  <si>
    <t>Prior Condition</t>
  </si>
  <si>
    <t>Adjusted Standard Error of CRF</t>
  </si>
  <si>
    <t>Unadjusted Standard Error of CRF</t>
  </si>
  <si>
    <t>Adjusted Standard Error of CMF</t>
  </si>
  <si>
    <t>Unadjusted Standard Error of CMF</t>
  </si>
  <si>
    <t>Included in First Edition of Highway Safety Manual</t>
  </si>
  <si>
    <t>State</t>
  </si>
  <si>
    <t>Municipality</t>
  </si>
  <si>
    <t>Type of Study Methodology</t>
  </si>
  <si>
    <t>Number of Miles/Sites - Range</t>
  </si>
  <si>
    <t>Exact Number of Miles/Sites</t>
  </si>
  <si>
    <t>Number of Crashes</t>
  </si>
  <si>
    <t>Number of Crashes Before</t>
  </si>
  <si>
    <t>Number of Crashes After</t>
  </si>
  <si>
    <t>Begin Year of Data</t>
  </si>
  <si>
    <t>End Year of Data</t>
  </si>
  <si>
    <t>Intersection Related</t>
  </si>
  <si>
    <t>Traffic Volume Unit</t>
  </si>
  <si>
    <t>Minimum Traffic Volume (non-intersection)</t>
  </si>
  <si>
    <t>Maximum Traffic Volume (non-intersection)</t>
  </si>
  <si>
    <t>Average Traffic Volume (non-intersection)</t>
  </si>
  <si>
    <t>Minimum Major Road Traffic Volume (intersection)</t>
  </si>
  <si>
    <t>Maximum Major Road Traffic Volume (intersection)</t>
  </si>
  <si>
    <t>Average Major Road Traffic Volume (intersection)</t>
  </si>
  <si>
    <t>Minimum Minor Road Traffic Volume (intersection)</t>
  </si>
  <si>
    <t>Maximum Minor Road Traffic Volume (intersection)</t>
  </si>
  <si>
    <t>Average Minor Road Traffic Volume (intersection)</t>
  </si>
  <si>
    <t>Number of Lanes</t>
  </si>
  <si>
    <t>Intersection Type</t>
  </si>
  <si>
    <t>Intersection Geometry</t>
  </si>
  <si>
    <t>Traffic Control Type</t>
  </si>
  <si>
    <t>Speed Limit (mph)</t>
  </si>
  <si>
    <t>Crash Time of Day</t>
  </si>
  <si>
    <t>Roadway Division Type</t>
  </si>
  <si>
    <t>Date CMF Added to Clearinghouse</t>
  </si>
  <si>
    <t>Public Comments</t>
  </si>
  <si>
    <t>Handbook of Road Safety Measures</t>
  </si>
  <si>
    <t>Pedestrians</t>
  </si>
  <si>
    <t>None</t>
  </si>
  <si>
    <t>Install raised pedestrian crosswalks</t>
  </si>
  <si>
    <t>All</t>
  </si>
  <si>
    <t>A (serious injury),B (minor injury),C (possible injury)</t>
  </si>
  <si>
    <t>Local</t>
  </si>
  <si>
    <t>Urban and Suburban</t>
  </si>
  <si>
    <t/>
  </si>
  <si>
    <t>no</t>
  </si>
  <si>
    <t>Meta-analysis</t>
  </si>
  <si>
    <t>Vehicle/pedestrian</t>
  </si>
  <si>
    <t>Development of Crash Modification Factors for Uncontrolled Pedestrian Crossing Treatments</t>
  </si>
  <si>
    <t>Install a pedestrian hybrid beacon (PHB or HAWK)</t>
  </si>
  <si>
    <t>Minor Arterial</t>
  </si>
  <si>
    <t>Urban and suburban</t>
  </si>
  <si>
    <t>No PHB</t>
  </si>
  <si>
    <t>AZ,FL,IL,MA,NY,NC,OR,VA,WI</t>
  </si>
  <si>
    <t>Regression cross-section</t>
  </si>
  <si>
    <t>100+</t>
  </si>
  <si>
    <t>unknown</t>
  </si>
  <si>
    <t>250-499</t>
  </si>
  <si>
    <t>Annual Average Daily Traffic (AADT)</t>
  </si>
  <si>
    <t>2 to 8</t>
  </si>
  <si>
    <t>Methodology used was a combination of EB before-after and cross-sectional estimations. Also, study sites were a combination of intersection and mid-block locations.</t>
  </si>
  <si>
    <t>Install pedestrian hybrid beacon (PHB or HAWK) with advanced yield or stop markings and signs</t>
  </si>
  <si>
    <t>No PHB or advanced yield or stop markings and signs</t>
  </si>
  <si>
    <t>Before/after using empirical Bayes or full Bayes</t>
  </si>
  <si>
    <t>&lt;25 or unknown</t>
  </si>
  <si>
    <t>Study sites were a combination of intersection and mid-block locations.</t>
  </si>
  <si>
    <t>Rear end,Sideswipe</t>
  </si>
  <si>
    <t>Install rectangular rapid flashing beacon (RRFB)</t>
  </si>
  <si>
    <t>No RRFB</t>
  </si>
  <si>
    <t>&lt;250</t>
  </si>
  <si>
    <t>FIPS</t>
  </si>
  <si>
    <t>area_name</t>
  </si>
  <si>
    <t>year</t>
  </si>
  <si>
    <t>age_group</t>
  </si>
  <si>
    <t>total_male</t>
  </si>
  <si>
    <t>total_female</t>
  </si>
  <si>
    <t>nh_white_total</t>
  </si>
  <si>
    <t>nh_white_male</t>
  </si>
  <si>
    <t>nh_white_female</t>
  </si>
  <si>
    <t>nh_black_total</t>
  </si>
  <si>
    <t>nh_black_male</t>
  </si>
  <si>
    <t>nh_black_female</t>
  </si>
  <si>
    <t>hispanic_total</t>
  </si>
  <si>
    <t>hispanic_male</t>
  </si>
  <si>
    <t>hispanic_female</t>
  </si>
  <si>
    <t>nh_asian_total</t>
  </si>
  <si>
    <t>nh_asian_male</t>
  </si>
  <si>
    <t>nh_asian_female</t>
  </si>
  <si>
    <t>nh_other_total</t>
  </si>
  <si>
    <t>nh_other_male</t>
  </si>
  <si>
    <t>nh_other_female</t>
  </si>
  <si>
    <t>ALL</t>
  </si>
  <si>
    <t>&lt;18</t>
  </si>
  <si>
    <t>18-24</t>
  </si>
  <si>
    <t>25-44</t>
  </si>
  <si>
    <t>45-64</t>
  </si>
  <si>
    <t>65+</t>
  </si>
  <si>
    <t>Ped Bike Counts</t>
  </si>
  <si>
    <t>FROM</t>
  </si>
  <si>
    <t>TO</t>
  </si>
  <si>
    <t>PEDS</t>
  </si>
  <si>
    <t>BRIDGE</t>
  </si>
  <si>
    <t>TRAIL</t>
  </si>
  <si>
    <t>SL 150 Sidewalk</t>
  </si>
  <si>
    <t>Main St Crossing</t>
  </si>
  <si>
    <t>Bicycles</t>
  </si>
  <si>
    <t>CO2</t>
  </si>
  <si>
    <t>US DOT, Benefit-Cost Analysis Guidance for Discretionary Grants Program, March 2022 (2021 with 3 percent discounted for 2020)</t>
  </si>
  <si>
    <t>Growth rate</t>
  </si>
  <si>
    <t>Cost-Benefit Analysis Results</t>
  </si>
  <si>
    <t>Benefit Category</t>
  </si>
  <si>
    <t>Impact #</t>
  </si>
  <si>
    <t>Financial Metrics</t>
  </si>
  <si>
    <t>BCR</t>
  </si>
  <si>
    <t>Results - 7% 2020$</t>
  </si>
  <si>
    <t>Results - 3% 2020$</t>
  </si>
  <si>
    <t>Cost of Fatalities</t>
  </si>
  <si>
    <t xml:space="preserve">Cost Injuries </t>
  </si>
  <si>
    <t xml:space="preserve">Total Accident Cost </t>
  </si>
  <si>
    <t>Total Accident Cost</t>
  </si>
  <si>
    <t>SL 150</t>
  </si>
  <si>
    <t>Length (mi)</t>
  </si>
  <si>
    <t>VMT</t>
  </si>
  <si>
    <t>Total Collisions (2019)</t>
  </si>
  <si>
    <t>Crash rate per 1 M VMT (2019)</t>
  </si>
  <si>
    <t>AADT (2018)</t>
  </si>
  <si>
    <t>Bike Avg Speed</t>
  </si>
  <si>
    <t>mph</t>
  </si>
  <si>
    <t>Bridge length</t>
  </si>
  <si>
    <t>Not Injury</t>
  </si>
  <si>
    <t>Suspected Serious Injury</t>
  </si>
  <si>
    <t>Pedestrian</t>
  </si>
  <si>
    <t>Pedalcyclist</t>
  </si>
  <si>
    <t>Demolition</t>
  </si>
  <si>
    <t>Construction</t>
  </si>
  <si>
    <t>Design</t>
  </si>
  <si>
    <t>pedalcyclists</t>
  </si>
  <si>
    <t>First Year of Bridge Closed</t>
  </si>
  <si>
    <t>Opening Year</t>
  </si>
  <si>
    <t>Assumption based on proposed rehabilitation project.</t>
  </si>
  <si>
    <t>Per length of analysis.</t>
  </si>
  <si>
    <t>Known closure year.</t>
  </si>
  <si>
    <t>Per proposed schedule.</t>
  </si>
  <si>
    <t>Crash Rate in area</t>
  </si>
  <si>
    <t>Alternate Route Length</t>
  </si>
  <si>
    <t>Alternate Route Travel Time</t>
  </si>
  <si>
    <t>Source: Texas Demographic Center, Population Projections. Accessed March 2022.</t>
  </si>
  <si>
    <t>Design Cost</t>
  </si>
  <si>
    <t>Operations and Maintenance Expenditures - No Build ($2020 Dollars)</t>
  </si>
  <si>
    <t>Operations and Maintenance Expenditures - Build ($2020 Dollars)</t>
  </si>
  <si>
    <t>Calendar Year</t>
  </si>
  <si>
    <t>Project Year</t>
  </si>
  <si>
    <t>Trips assumed to be pure recreational trips = 50%</t>
  </si>
  <si>
    <t>Value per day of recreation= $10</t>
  </si>
  <si>
    <t>Recreation days per Year (Assumes 80% of 365 days= 292 days)</t>
  </si>
  <si>
    <t>Annual Recreational Benefit</t>
  </si>
  <si>
    <t>Annual Health Benefit per New Cyclist per Year ($128)</t>
  </si>
  <si>
    <t>Undiscounted Value of Health Benefit</t>
  </si>
  <si>
    <t>Capital Costs - No Build ($2020 Dollars)</t>
  </si>
  <si>
    <t>O&amp;M - No Build Less Build</t>
  </si>
  <si>
    <t>Capital Costs - Build ($2020 Dollars)</t>
  </si>
  <si>
    <t>Total Capital Costs - No Build Less Build</t>
  </si>
  <si>
    <t>Health Benefits</t>
  </si>
  <si>
    <t>Recreational Benefits</t>
  </si>
  <si>
    <t>Recreational Savings</t>
  </si>
  <si>
    <t>Health Savings</t>
  </si>
  <si>
    <t>NO BUILD - PEDS/BIKE</t>
  </si>
  <si>
    <t>BUILD - PEDS/BIKE</t>
  </si>
  <si>
    <t xml:space="preserve">Recreational </t>
  </si>
  <si>
    <t>Health</t>
  </si>
  <si>
    <t>Discount Factor (7%)</t>
  </si>
  <si>
    <t>Discount Factor (3%)</t>
  </si>
  <si>
    <t>Annual Health Benefit per New Pedestrian per Year ($128)</t>
  </si>
  <si>
    <t>Build</t>
  </si>
  <si>
    <t>Calculated from available data from corridor study of SL 150 (2019)</t>
  </si>
  <si>
    <t>Source: Texas Department of Transportation (TxDOT). 2019. Bastrop Corridor Study - Analysis of Safety Performance</t>
  </si>
  <si>
    <t>Crash involved peds</t>
  </si>
  <si>
    <t>Crash Involved bike</t>
  </si>
  <si>
    <t>Crash involved peds %</t>
  </si>
  <si>
    <t>Crash Involved bike %</t>
  </si>
  <si>
    <t>Texas Department of Transportation (TxDOT). 2019. Bastrop Corridor Study - Analysis of Safety Performance</t>
  </si>
  <si>
    <t>Total Cost</t>
  </si>
  <si>
    <t>Allocation Process</t>
  </si>
  <si>
    <t>Variable</t>
  </si>
  <si>
    <t>Fractional Years</t>
  </si>
  <si>
    <t>Year Start</t>
  </si>
  <si>
    <t>Month Start</t>
  </si>
  <si>
    <t>Day Start</t>
  </si>
  <si>
    <t>Year End</t>
  </si>
  <si>
    <t>Month End</t>
  </si>
  <si>
    <t>Day End</t>
  </si>
  <si>
    <t>DESIGN</t>
  </si>
  <si>
    <t>CONSTR</t>
  </si>
  <si>
    <t>Total Days</t>
  </si>
  <si>
    <t>Days (Year 1)</t>
  </si>
  <si>
    <t>Days (Year 2)</t>
  </si>
  <si>
    <t>Days (Year 3)</t>
  </si>
  <si>
    <t>Days (Year 4)</t>
  </si>
  <si>
    <t>Days (Year 5)</t>
  </si>
  <si>
    <t>Days (Year 6)</t>
  </si>
  <si>
    <t>Percentage 1st Year</t>
  </si>
  <si>
    <t>Percentage 2nd Year</t>
  </si>
  <si>
    <t>Percentage 3rd Year</t>
  </si>
  <si>
    <t>Percentage 4th Year</t>
  </si>
  <si>
    <t>Percentage 5th Year</t>
  </si>
  <si>
    <t>Percentage 6th Year</t>
  </si>
  <si>
    <t>Cost Year 1</t>
  </si>
  <si>
    <t>Cost Year 2</t>
  </si>
  <si>
    <t>Cost Year 3</t>
  </si>
  <si>
    <t>Cost Year 4</t>
  </si>
  <si>
    <t>Cost Year 5</t>
  </si>
  <si>
    <t>Cost Year 6</t>
  </si>
  <si>
    <t>construction cost</t>
  </si>
  <si>
    <t>design cost</t>
  </si>
  <si>
    <t xml:space="preserve"> Source: El-Geneidy, A., Krizek K., and Iacono, M. 2007. Predicting Bicycle Travel Speeds Along Different Facilities using GPS Data: A Proof of Concept Model. </t>
  </si>
  <si>
    <t>Construction Cost Calc</t>
  </si>
  <si>
    <t>No pedalcyclist or pedestrian fatality recorded in crash data collected from 2012-2021. Therefore, fatalities are not calculated associated for bike/peds in this analysis.</t>
  </si>
  <si>
    <t xml:space="preserve"> Source: US DOT, Benefit-Cost Analysis Guidance for Discretionary Grants Program, March 2022</t>
  </si>
  <si>
    <t>Accident Impacts</t>
  </si>
  <si>
    <t>BUILD LESS NO BUILD</t>
  </si>
  <si>
    <t>Barriers/security/Lights</t>
  </si>
  <si>
    <t>All values are in 2020$ millions</t>
  </si>
  <si>
    <t>Over Years 2020-2046</t>
  </si>
  <si>
    <t>Avg Collisions per year</t>
  </si>
  <si>
    <t>AADT</t>
  </si>
  <si>
    <t>Current traffic (2019)</t>
  </si>
  <si>
    <t>ADT*Miles</t>
  </si>
  <si>
    <t>4.6 metric tons of CO2</t>
  </si>
  <si>
    <t>one passenger vehicle:</t>
  </si>
  <si>
    <t>Source: TxDOT Crash Records Information System (CRIS) Database (Ashley provided)</t>
  </si>
  <si>
    <t>Assumes avg crashes per year*</t>
  </si>
  <si>
    <t>GDP Deflator 2022 to 2020</t>
  </si>
  <si>
    <t>Estimated based on distance.</t>
  </si>
  <si>
    <t>Calculated based on AADT divided by 365 and multiplied by length of bridge.</t>
  </si>
  <si>
    <t>NPV</t>
  </si>
  <si>
    <t>2022 estimates</t>
  </si>
  <si>
    <t>Misc Maintenance Estimated</t>
  </si>
  <si>
    <t>General Renovations Every 5 Years</t>
  </si>
  <si>
    <t>*Delay costs were not included as delays would not be anticipated to Bike/Peds during construction in the rehabilitation of the Old Iron Bridge because it should not impact the existing SL 150 bridge facilities.</t>
  </si>
  <si>
    <t xml:space="preserve">Assumes a 2% crash reduction </t>
  </si>
  <si>
    <t>Cycling Facility Improvements - Benefits</t>
  </si>
  <si>
    <t>Pedestrian Facility Improvements - Benefits</t>
  </si>
  <si>
    <t>Number of Cyclists</t>
  </si>
  <si>
    <t>Total User Benefit</t>
  </si>
  <si>
    <t>**The price per cycling mile was divided by 4 to equal to bridge distance of 0.25 mile.</t>
  </si>
  <si>
    <t>Ped Facility Benefits</t>
  </si>
  <si>
    <t>Cycling Facility Benefits</t>
  </si>
  <si>
    <t>Sensitivity Analysis</t>
  </si>
  <si>
    <t>20% Increase</t>
  </si>
  <si>
    <t>20% Reduction</t>
  </si>
  <si>
    <t>Deflated to 2020$s</t>
  </si>
  <si>
    <t>Avg Daily Count* with 10% annual growth rate</t>
  </si>
  <si>
    <t>KJM NOTE: can we assume crashes will increase in the future due to traffic growth?  If traffic grows by X% will accidents increase also?  I don't know if that will help but it would increase the number of crashes avoided.</t>
  </si>
  <si>
    <t>Total Pedestrian Benefit</t>
  </si>
  <si>
    <t>Undiscounted Benefits</t>
  </si>
  <si>
    <t>Discounted Benefits, at 7%</t>
  </si>
  <si>
    <t>daily peds</t>
  </si>
  <si>
    <t>daily bikes</t>
  </si>
  <si>
    <t>15% cont</t>
  </si>
  <si>
    <t>Cycling Path with no at grade crossings (per cycling mile 2020$)**</t>
  </si>
  <si>
    <t>Length of Bridge</t>
  </si>
  <si>
    <t>length of bridge</t>
  </si>
  <si>
    <t>Estimated Trips Without Project (assumes total 120 in 2020 base year, followed by 5.5% annual rate of growth)</t>
  </si>
  <si>
    <t>* Assumes double the no build estimated trips in year 1 and multiplied by annual growth rate of 5.5 percent.</t>
  </si>
  <si>
    <t>Estimated Trips After Project (assumes total doubled in Year 1 of project in 2027, followed by 5.5% annual rate of growth)</t>
  </si>
  <si>
    <t>Added Ped Benefit</t>
  </si>
  <si>
    <t>With 5.5% annual growth rate</t>
  </si>
  <si>
    <t>* Average daily count calculated from 4x the pedalcyclist count (6) from a 6 hour period.</t>
  </si>
  <si>
    <t>* assumes new bridge will have 21 ft of usable ped space.  Calculated by 20 ft for new bridge - 6 ft for existing sidewalk</t>
  </si>
  <si>
    <t>* Based on pedestrian counts (54)+ bike counts (6) for 6 hr period, assumed doubled (60*2) for an average daily count (120) and multiplied by annual growth rate of 5.5 percent.</t>
  </si>
  <si>
    <t>*average calculated by study data - 377 crashes over 8 year period (377/8=47), 2.12% crash reduction based on number of crashes associated with bikes and peds from study</t>
  </si>
  <si>
    <t>Expanded width from 6' to 21', 15 feet of additional width x 1284 ft of length*</t>
  </si>
  <si>
    <t>O&amp;M Lifecycle Costs</t>
  </si>
  <si>
    <t>Estimated New Ped Trips After Project (assumes total 1300* in Year 1, followed by 5.5% annual rate of growth)</t>
  </si>
  <si>
    <t>* Based on pedestrian (54) and bike (6) counts for 6 hr period taken in March 2022.  Assume different group of peds use the facility every month (108) and 2x the number of bikes (24) use the facility every month and annual growth rate of 5.5% for City of Bastrop</t>
  </si>
  <si>
    <t>Estimated New Cycling Trips After Project (assumes total 288* in Year 1, followed by 5.5% annual rate of growth)</t>
  </si>
  <si>
    <t>Agency Cost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</si>
</sst>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
    <numFmt numFmtId="166" formatCode="&quot;$&quot;#,##0"/>
    <numFmt numFmtId="167" formatCode="&quot;$&quot;#,##0.00"/>
    <numFmt numFmtId="168" formatCode="_(* #,##0_);_(* \(#,##0\);_(* &quot;-&quot;??_);_(@_)"/>
    <numFmt numFmtId="169" formatCode="[$-409]mmmm\ d\,\ yyyy;@"/>
    <numFmt numFmtId="170" formatCode="0.0000"/>
    <numFmt numFmtId="171" formatCode="0.0"/>
    <numFmt numFmtId="172" formatCode="mm/dd/yyyy\ "/>
    <numFmt numFmtId="173" formatCode="&quot;$&quot;#,##0.0_);\(&quot;$&quot;#,##0.0\)"/>
    <numFmt numFmtId="174" formatCode="#,##0.0&quot; M&quot;"/>
    <numFmt numFmtId="175" formatCode="0.000"/>
    <numFmt numFmtId="176" formatCode="_(&quot;$&quot;* #,##0_);_(&quot;$&quot;* \(#,##0\);_(&quot;$&quot;* &quot;-&quot;??_);_(@_)"/>
    <numFmt numFmtId="177" formatCode="#,##0.00&quot; M&quot;"/>
    <numFmt numFmtId="178" formatCode="_(* #,##0.0_);_(* \(#,##0.0\);_(* &quot;-&quot;??_);_(@_)"/>
    <numFmt numFmtId="179" formatCode="&quot;$&quot;#,##0.000_);\(&quot;$&quot;#,##0.000\)"/>
    <numFmt numFmtId="180" formatCode="&quot;$&quot;#,##0.0000_);\(&quot;$&quot;#,##0.0000\)"/>
  </numFmts>
  <fonts count="31" x14ac:knownFonts="1">
    <font>
      <sz val="11"/>
      <color theme="1"/>
      <name val="Calibri"/>
      <family val="2"/>
      <scheme val="minor"/>
    </font>
    <font>
      <sz val="11"/>
      <color theme="1"/>
      <name val="Calibri"/>
      <family val="2"/>
      <scheme val="minor"/>
    </font>
    <font>
      <b/>
      <sz val="11"/>
      <color theme="0"/>
      <name val="Calibri"/>
      <family val="2"/>
      <scheme val="minor"/>
    </font>
    <font>
      <sz val="11"/>
      <color indexed="8"/>
      <name val="Calibri"/>
      <family val="2"/>
    </font>
    <font>
      <b/>
      <sz val="11"/>
      <color indexed="8"/>
      <name val="Calibri"/>
      <family val="2"/>
    </font>
    <font>
      <b/>
      <sz val="11"/>
      <color theme="0"/>
      <name val="Calibri"/>
      <family val="2"/>
    </font>
    <font>
      <b/>
      <sz val="14"/>
      <color indexed="8"/>
      <name val="Calibri"/>
      <family val="2"/>
    </font>
    <font>
      <sz val="11"/>
      <color theme="1"/>
      <name val="Calibri"/>
      <family val="2"/>
    </font>
    <font>
      <sz val="11"/>
      <color rgb="FF00610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i/>
      <sz val="11"/>
      <name val="Calibri"/>
      <family val="2"/>
      <scheme val="minor"/>
    </font>
    <font>
      <b/>
      <sz val="18"/>
      <color theme="1"/>
      <name val="Calibri"/>
      <family val="2"/>
      <scheme val="minor"/>
    </font>
    <font>
      <b/>
      <sz val="18"/>
      <name val="Calibri"/>
      <family val="2"/>
      <scheme val="minor"/>
    </font>
    <font>
      <i/>
      <sz val="11"/>
      <color theme="3"/>
      <name val="Calibri"/>
      <family val="2"/>
      <scheme val="minor"/>
    </font>
    <font>
      <b/>
      <i/>
      <sz val="11"/>
      <color theme="1"/>
      <name val="Calibri"/>
      <family val="2"/>
      <scheme val="minor"/>
    </font>
    <font>
      <b/>
      <sz val="12"/>
      <color theme="1"/>
      <name val="Calibri"/>
      <family val="2"/>
      <scheme val="minor"/>
    </font>
    <font>
      <sz val="11"/>
      <name val="Calibri"/>
      <family val="2"/>
    </font>
    <font>
      <b/>
      <sz val="11"/>
      <name val="Calibri"/>
      <family val="2"/>
    </font>
    <font>
      <b/>
      <sz val="11"/>
      <color theme="1"/>
      <name val="Calibri"/>
      <family val="2"/>
    </font>
    <font>
      <b/>
      <sz val="14"/>
      <color theme="1"/>
      <name val="Calibri"/>
      <family val="2"/>
      <scheme val="minor"/>
    </font>
    <font>
      <sz val="8"/>
      <name val="Calibri"/>
      <family val="2"/>
      <scheme val="minor"/>
    </font>
    <font>
      <sz val="10"/>
      <name val="Arial"/>
      <family val="2"/>
    </font>
    <font>
      <b/>
      <sz val="12"/>
      <name val="Arial"/>
      <family val="2"/>
    </font>
    <font>
      <sz val="10"/>
      <color theme="1"/>
      <name val="Calibri"/>
      <family val="2"/>
      <scheme val="minor"/>
    </font>
    <font>
      <sz val="10"/>
      <name val="Calibri"/>
      <family val="2"/>
      <scheme val="minor"/>
    </font>
    <font>
      <sz val="9"/>
      <color theme="1"/>
      <name val="Calibri"/>
      <family val="2"/>
      <scheme val="minor"/>
    </font>
    <font>
      <b/>
      <sz val="9"/>
      <color theme="1"/>
      <name val="Calibri"/>
      <family val="2"/>
      <scheme val="minor"/>
    </font>
    <font>
      <sz val="9"/>
      <color rgb="FF000000"/>
      <name val="Arial"/>
      <family val="2"/>
    </font>
  </fonts>
  <fills count="13">
    <fill>
      <patternFill patternType="none"/>
    </fill>
    <fill>
      <patternFill patternType="gray125"/>
    </fill>
    <fill>
      <patternFill patternType="solid">
        <fgColor theme="4" tint="-0.249977111117893"/>
        <bgColor indexed="64"/>
      </patternFill>
    </fill>
    <fill>
      <patternFill patternType="solid">
        <fgColor rgb="FFC6EFCE"/>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rgb="FFFFFF00"/>
        <bgColor indexed="64"/>
      </patternFill>
    </fill>
  </fills>
  <borders count="49">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top style="thin">
        <color theme="0" tint="-0.24994659260841701"/>
      </top>
      <bottom style="thin">
        <color indexed="64"/>
      </bottom>
      <diagonal/>
    </border>
    <border>
      <left/>
      <right style="thin">
        <color indexed="64"/>
      </right>
      <top style="thin">
        <color theme="0" tint="-0.24994659260841701"/>
      </top>
      <bottom style="thin">
        <color theme="0" tint="-0.2499465926084170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9" fontId="1" fillId="0" borderId="0" applyFont="0" applyFill="0" applyBorder="0" applyAlignment="0" applyProtection="0"/>
    <xf numFmtId="0" fontId="7" fillId="0" borderId="0"/>
    <xf numFmtId="43" fontId="1" fillId="0" borderId="0" applyFont="0" applyFill="0" applyBorder="0" applyAlignment="0" applyProtection="0"/>
    <xf numFmtId="44" fontId="1" fillId="0" borderId="0" applyFont="0" applyFill="0" applyBorder="0" applyAlignment="0" applyProtection="0"/>
    <xf numFmtId="0" fontId="8" fillId="3" borderId="0" applyNumberFormat="0" applyBorder="0" applyAlignment="0" applyProtection="0"/>
    <xf numFmtId="9" fontId="7" fillId="0" borderId="0" applyFont="0" applyFill="0" applyBorder="0" applyAlignment="0" applyProtection="0"/>
    <xf numFmtId="0" fontId="24" fillId="0" borderId="0"/>
  </cellStyleXfs>
  <cellXfs count="303">
    <xf numFmtId="0" fontId="0" fillId="0" borderId="0" xfId="0"/>
    <xf numFmtId="0" fontId="3" fillId="0" borderId="0" xfId="0" applyFont="1"/>
    <xf numFmtId="0" fontId="4" fillId="2" borderId="0" xfId="0" applyFont="1" applyFill="1"/>
    <xf numFmtId="0" fontId="5" fillId="2" borderId="0" xfId="0" applyFont="1" applyFill="1" applyAlignment="1">
      <alignment horizontal="center"/>
    </xf>
    <xf numFmtId="0" fontId="5" fillId="2" borderId="0" xfId="0" applyFont="1" applyFill="1" applyAlignment="1">
      <alignment horizontal="center" wrapText="1"/>
    </xf>
    <xf numFmtId="0" fontId="5" fillId="2" borderId="0" xfId="0" applyFont="1" applyFill="1"/>
    <xf numFmtId="0" fontId="6"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wrapText="1"/>
    </xf>
    <xf numFmtId="9" fontId="0" fillId="0" borderId="0" xfId="1" applyFont="1"/>
    <xf numFmtId="9" fontId="0" fillId="0" borderId="0" xfId="0" applyNumberFormat="1"/>
    <xf numFmtId="0" fontId="2" fillId="2" borderId="0" xfId="0" applyFont="1" applyFill="1"/>
    <xf numFmtId="0" fontId="12" fillId="0" borderId="4" xfId="0" applyFont="1" applyBorder="1" applyAlignment="1">
      <alignment wrapText="1"/>
    </xf>
    <xf numFmtId="0" fontId="12" fillId="0" borderId="4" xfId="0" applyFont="1" applyBorder="1"/>
    <xf numFmtId="0" fontId="10" fillId="0" borderId="0" xfId="0" applyFont="1" applyAlignment="1">
      <alignment wrapText="1"/>
    </xf>
    <xf numFmtId="0" fontId="0" fillId="0" borderId="0" xfId="0" applyAlignment="1">
      <alignment wrapText="1"/>
    </xf>
    <xf numFmtId="0" fontId="12" fillId="0" borderId="4" xfId="0" applyFont="1" applyBorder="1" applyAlignment="1">
      <alignment horizontal="center"/>
    </xf>
    <xf numFmtId="0" fontId="10" fillId="0" borderId="0" xfId="0" applyFont="1"/>
    <xf numFmtId="0" fontId="13" fillId="4" borderId="0" xfId="0" applyFont="1" applyFill="1" applyAlignment="1">
      <alignment vertical="center"/>
    </xf>
    <xf numFmtId="0" fontId="2" fillId="2" borderId="8" xfId="0" applyFont="1" applyFill="1" applyBorder="1" applyAlignment="1">
      <alignment vertical="center"/>
    </xf>
    <xf numFmtId="0" fontId="12" fillId="0" borderId="9" xfId="0" applyFont="1" applyBorder="1" applyAlignment="1">
      <alignment vertical="center"/>
    </xf>
    <xf numFmtId="0" fontId="12" fillId="4" borderId="10" xfId="0" applyFont="1" applyFill="1" applyBorder="1" applyAlignment="1">
      <alignment vertical="center"/>
    </xf>
    <xf numFmtId="0" fontId="11" fillId="5" borderId="10" xfId="0" applyFont="1" applyFill="1" applyBorder="1" applyAlignment="1">
      <alignment vertical="center"/>
    </xf>
    <xf numFmtId="0" fontId="11" fillId="6" borderId="10" xfId="0" applyFont="1" applyFill="1" applyBorder="1" applyAlignment="1">
      <alignment vertical="center"/>
    </xf>
    <xf numFmtId="0" fontId="12" fillId="0" borderId="11" xfId="0" applyFont="1" applyBorder="1" applyAlignment="1">
      <alignment vertical="center"/>
    </xf>
    <xf numFmtId="0" fontId="2" fillId="2" borderId="12" xfId="0" applyFont="1" applyFill="1" applyBorder="1" applyAlignment="1">
      <alignment horizontal="center" vertical="center"/>
    </xf>
    <xf numFmtId="0" fontId="12" fillId="4" borderId="0" xfId="0" applyFont="1" applyFill="1" applyAlignment="1">
      <alignment vertical="center"/>
    </xf>
    <xf numFmtId="0" fontId="0" fillId="0" borderId="13" xfId="0" applyBorder="1"/>
    <xf numFmtId="0" fontId="0" fillId="0" borderId="14" xfId="0" applyBorder="1"/>
    <xf numFmtId="0" fontId="0" fillId="0" borderId="5" xfId="0" applyBorder="1"/>
    <xf numFmtId="0" fontId="0" fillId="0" borderId="1" xfId="0" applyBorder="1"/>
    <xf numFmtId="0" fontId="0" fillId="0" borderId="0" xfId="0" applyBorder="1"/>
    <xf numFmtId="0" fontId="0" fillId="0" borderId="2" xfId="0" applyBorder="1"/>
    <xf numFmtId="0" fontId="0" fillId="0" borderId="15" xfId="0" applyBorder="1"/>
    <xf numFmtId="0" fontId="0" fillId="0" borderId="16" xfId="0" applyBorder="1"/>
    <xf numFmtId="0" fontId="0" fillId="0" borderId="3" xfId="0" applyBorder="1"/>
    <xf numFmtId="164" fontId="0" fillId="0" borderId="2" xfId="1" applyNumberFormat="1" applyFont="1" applyBorder="1"/>
    <xf numFmtId="164" fontId="0" fillId="0" borderId="0" xfId="1" applyNumberFormat="1" applyFont="1" applyBorder="1"/>
    <xf numFmtId="9" fontId="0" fillId="0" borderId="16" xfId="1" applyFont="1" applyBorder="1"/>
    <xf numFmtId="0" fontId="14" fillId="4" borderId="0" xfId="0" applyFont="1" applyFill="1" applyAlignment="1">
      <alignment horizontal="left"/>
    </xf>
    <xf numFmtId="0" fontId="14" fillId="4" borderId="0" xfId="0" applyFont="1" applyFill="1"/>
    <xf numFmtId="0" fontId="15" fillId="4" borderId="0" xfId="0" applyFont="1" applyFill="1"/>
    <xf numFmtId="0" fontId="0" fillId="4" borderId="0" xfId="0" applyFill="1" applyAlignment="1">
      <alignment horizontal="right"/>
    </xf>
    <xf numFmtId="0" fontId="0" fillId="4" borderId="0" xfId="0" applyFill="1"/>
    <xf numFmtId="0" fontId="16" fillId="4" borderId="4" xfId="0" applyFont="1" applyFill="1" applyBorder="1" applyAlignment="1">
      <alignment horizontal="center"/>
    </xf>
    <xf numFmtId="0" fontId="17" fillId="0" borderId="0" xfId="0" applyFont="1" applyAlignment="1">
      <alignment horizontal="left"/>
    </xf>
    <xf numFmtId="1" fontId="2" fillId="2" borderId="0" xfId="0" applyNumberFormat="1" applyFont="1" applyFill="1" applyAlignment="1">
      <alignment horizontal="right"/>
    </xf>
    <xf numFmtId="166" fontId="0" fillId="4" borderId="0" xfId="0" applyNumberFormat="1" applyFill="1"/>
    <xf numFmtId="0" fontId="11" fillId="0" borderId="0" xfId="0" applyFont="1" applyAlignment="1">
      <alignment horizontal="left"/>
    </xf>
    <xf numFmtId="9" fontId="10" fillId="0" borderId="0" xfId="1" applyFont="1" applyFill="1" applyBorder="1" applyAlignment="1">
      <alignment horizontal="center"/>
    </xf>
    <xf numFmtId="2" fontId="3" fillId="0" borderId="0" xfId="0" applyNumberFormat="1" applyFont="1"/>
    <xf numFmtId="166" fontId="0" fillId="0" borderId="17" xfId="0" applyNumberFormat="1" applyBorder="1" applyAlignment="1">
      <alignment vertical="center"/>
    </xf>
    <xf numFmtId="166" fontId="0" fillId="0" borderId="0" xfId="0" applyNumberFormat="1"/>
    <xf numFmtId="0" fontId="19" fillId="0" borderId="0" xfId="0" applyFont="1" applyAlignment="1">
      <alignment horizontal="left" vertical="center"/>
    </xf>
    <xf numFmtId="0" fontId="14" fillId="0" borderId="0" xfId="0" applyFont="1" applyAlignment="1">
      <alignment wrapText="1"/>
    </xf>
    <xf numFmtId="0" fontId="0" fillId="0" borderId="0" xfId="0" applyAlignment="1">
      <alignment horizontal="left"/>
    </xf>
    <xf numFmtId="0" fontId="20" fillId="0" borderId="0" xfId="2" applyFont="1" applyAlignment="1">
      <alignment horizontal="left"/>
    </xf>
    <xf numFmtId="9" fontId="7" fillId="0" borderId="0" xfId="6" applyFont="1" applyFill="1" applyBorder="1" applyAlignment="1">
      <alignment horizontal="left"/>
    </xf>
    <xf numFmtId="0" fontId="3" fillId="0" borderId="0" xfId="0" applyFont="1" applyAlignment="1">
      <alignment horizontal="left"/>
    </xf>
    <xf numFmtId="9" fontId="21" fillId="0" borderId="0" xfId="6" applyFont="1" applyFill="1" applyBorder="1" applyAlignment="1">
      <alignment horizontal="center" vertical="center"/>
    </xf>
    <xf numFmtId="0" fontId="1" fillId="0" borderId="0" xfId="0" applyFont="1" applyAlignment="1">
      <alignment horizontal="left"/>
    </xf>
    <xf numFmtId="0" fontId="7" fillId="0" borderId="0" xfId="0" applyFont="1" applyAlignment="1">
      <alignment horizontal="left"/>
    </xf>
    <xf numFmtId="0" fontId="7" fillId="0" borderId="0" xfId="0" applyFont="1" applyAlignment="1">
      <alignment horizontal="center" wrapText="1"/>
    </xf>
    <xf numFmtId="0" fontId="7" fillId="0" borderId="0" xfId="0" applyFont="1"/>
    <xf numFmtId="168" fontId="0" fillId="0" borderId="0" xfId="3" applyNumberFormat="1" applyFont="1" applyFill="1"/>
    <xf numFmtId="0" fontId="7" fillId="0" borderId="0" xfId="0" applyFont="1" applyAlignment="1">
      <alignment horizontal="center"/>
    </xf>
    <xf numFmtId="169" fontId="0" fillId="0" borderId="0" xfId="0" applyNumberFormat="1" applyAlignment="1">
      <alignment horizontal="left" vertical="center"/>
    </xf>
    <xf numFmtId="167" fontId="0" fillId="0" borderId="0" xfId="0" applyNumberFormat="1"/>
    <xf numFmtId="168" fontId="0" fillId="0" borderId="0" xfId="3" applyNumberFormat="1" applyFont="1"/>
    <xf numFmtId="0" fontId="2" fillId="0" borderId="0" xfId="0" applyFont="1"/>
    <xf numFmtId="0" fontId="0" fillId="0" borderId="0" xfId="0" applyAlignment="1">
      <alignment horizontal="center" vertical="center"/>
    </xf>
    <xf numFmtId="0" fontId="14" fillId="0" borderId="0" xfId="0" applyFont="1" applyAlignment="1">
      <alignment horizontal="left"/>
    </xf>
    <xf numFmtId="0" fontId="2" fillId="2" borderId="4" xfId="0" applyFont="1" applyFill="1" applyBorder="1" applyAlignment="1">
      <alignment horizontal="left" vertical="center"/>
    </xf>
    <xf numFmtId="0" fontId="2" fillId="2" borderId="4" xfId="0" applyFont="1" applyFill="1" applyBorder="1" applyAlignment="1">
      <alignment horizontal="center" vertical="center"/>
    </xf>
    <xf numFmtId="0" fontId="0" fillId="0" borderId="4" xfId="0" applyBorder="1" applyAlignment="1">
      <alignment horizontal="left" vertical="center"/>
    </xf>
    <xf numFmtId="9" fontId="12" fillId="0" borderId="4" xfId="5" applyNumberFormat="1" applyFont="1" applyFill="1" applyBorder="1" applyAlignment="1">
      <alignment horizontal="center" vertical="center" wrapText="1"/>
    </xf>
    <xf numFmtId="0" fontId="0" fillId="4" borderId="4" xfId="0" applyFill="1" applyBorder="1" applyAlignment="1">
      <alignment horizontal="center" vertical="center"/>
    </xf>
    <xf numFmtId="0" fontId="12" fillId="0" borderId="4" xfId="0" applyFont="1" applyBorder="1" applyAlignment="1">
      <alignment horizontal="center" vertical="center" wrapText="1"/>
    </xf>
    <xf numFmtId="0" fontId="0" fillId="0" borderId="4" xfId="0" applyBorder="1" applyAlignment="1">
      <alignment horizontal="left" vertical="center" wrapText="1"/>
    </xf>
    <xf numFmtId="0" fontId="12" fillId="0" borderId="4" xfId="5" applyFont="1" applyFill="1" applyBorder="1" applyAlignment="1">
      <alignment horizontal="center" vertical="center" wrapText="1"/>
    </xf>
    <xf numFmtId="14" fontId="12" fillId="0" borderId="4" xfId="0" applyNumberFormat="1" applyFont="1" applyBorder="1" applyAlignment="1">
      <alignment horizontal="center" vertical="center"/>
    </xf>
    <xf numFmtId="0" fontId="12" fillId="0" borderId="4" xfId="0" applyFont="1" applyBorder="1" applyAlignment="1">
      <alignment horizontal="left" vertical="center" wrapText="1"/>
    </xf>
    <xf numFmtId="170" fontId="12" fillId="0" borderId="4" xfId="0" applyNumberFormat="1" applyFont="1" applyBorder="1" applyAlignment="1">
      <alignment horizontal="center" vertical="center"/>
    </xf>
    <xf numFmtId="0" fontId="0" fillId="0" borderId="0" xfId="0" applyAlignment="1">
      <alignment horizontal="left" vertical="center" wrapText="1"/>
    </xf>
    <xf numFmtId="3" fontId="12" fillId="0" borderId="4" xfId="0" applyNumberFormat="1" applyFont="1" applyBorder="1" applyAlignment="1">
      <alignment horizontal="center" vertical="center"/>
    </xf>
    <xf numFmtId="10" fontId="12" fillId="0" borderId="4" xfId="0" applyNumberFormat="1"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left" indent="3"/>
    </xf>
    <xf numFmtId="1" fontId="12" fillId="0" borderId="4" xfId="0" applyNumberFormat="1" applyFont="1" applyBorder="1" applyAlignment="1">
      <alignment horizontal="left"/>
    </xf>
    <xf numFmtId="4" fontId="12" fillId="0" borderId="4" xfId="0" applyNumberFormat="1"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4" borderId="0" xfId="0" applyFill="1" applyAlignment="1">
      <alignment horizontal="center"/>
    </xf>
    <xf numFmtId="3" fontId="12" fillId="0" borderId="0" xfId="5" applyNumberFormat="1" applyFont="1" applyFill="1" applyBorder="1" applyAlignment="1">
      <alignment horizontal="center" vertical="center"/>
    </xf>
    <xf numFmtId="1" fontId="12" fillId="0" borderId="4" xfId="0" applyNumberFormat="1" applyFont="1" applyBorder="1" applyAlignment="1">
      <alignment horizontal="left" indent="2"/>
    </xf>
    <xf numFmtId="167" fontId="12" fillId="0" borderId="4" xfId="0" applyNumberFormat="1" applyFont="1" applyBorder="1" applyAlignment="1">
      <alignment horizontal="center" vertical="center"/>
    </xf>
    <xf numFmtId="0" fontId="0" fillId="4" borderId="4" xfId="0" applyFill="1" applyBorder="1" applyAlignment="1">
      <alignment horizontal="center"/>
    </xf>
    <xf numFmtId="3" fontId="12" fillId="0" borderId="4" xfId="5" applyNumberFormat="1" applyFont="1" applyFill="1" applyBorder="1" applyAlignment="1">
      <alignment horizontal="center" vertical="center"/>
    </xf>
    <xf numFmtId="166" fontId="12" fillId="0" borderId="4" xfId="0" applyNumberFormat="1" applyFont="1" applyBorder="1" applyAlignment="1">
      <alignment horizontal="center" vertical="center"/>
    </xf>
    <xf numFmtId="1" fontId="12" fillId="0" borderId="0" xfId="0" applyNumberFormat="1" applyFont="1" applyAlignment="1">
      <alignment horizontal="left" indent="2"/>
    </xf>
    <xf numFmtId="166" fontId="12" fillId="0" borderId="0" xfId="0" applyNumberFormat="1" applyFont="1" applyAlignment="1">
      <alignment horizontal="center" vertical="center"/>
    </xf>
    <xf numFmtId="0" fontId="14" fillId="0" borderId="0" xfId="0" applyFont="1" applyAlignment="1">
      <alignment vertical="center"/>
    </xf>
    <xf numFmtId="166" fontId="0" fillId="0" borderId="0" xfId="4" applyNumberFormat="1" applyFont="1"/>
    <xf numFmtId="0" fontId="25" fillId="0" borderId="0" xfId="7" applyFont="1"/>
    <xf numFmtId="0" fontId="24" fillId="0" borderId="0" xfId="7"/>
    <xf numFmtId="172" fontId="24" fillId="0" borderId="0" xfId="7" applyNumberFormat="1"/>
    <xf numFmtId="20" fontId="0" fillId="7" borderId="21" xfId="0" applyNumberFormat="1" applyFill="1" applyBorder="1"/>
    <xf numFmtId="20" fontId="0" fillId="7" borderId="22" xfId="0" applyNumberFormat="1" applyFill="1" applyBorder="1"/>
    <xf numFmtId="20" fontId="0" fillId="0" borderId="21" xfId="0" applyNumberFormat="1" applyBorder="1"/>
    <xf numFmtId="20" fontId="0" fillId="0" borderId="22" xfId="0" applyNumberFormat="1" applyBorder="1"/>
    <xf numFmtId="20" fontId="0" fillId="0" borderId="23" xfId="0" applyNumberFormat="1" applyBorder="1"/>
    <xf numFmtId="20" fontId="0" fillId="0" borderId="25" xfId="0" applyNumberFormat="1" applyBorder="1"/>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7" borderId="26" xfId="0" applyFill="1" applyBorder="1" applyAlignment="1">
      <alignment horizontal="center" vertical="center"/>
    </xf>
    <xf numFmtId="0" fontId="0" fillId="7" borderId="7" xfId="0" applyFill="1" applyBorder="1" applyAlignment="1">
      <alignment horizontal="center" vertical="center"/>
    </xf>
    <xf numFmtId="0" fontId="0" fillId="7" borderId="27"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7" borderId="21" xfId="0" applyFill="1" applyBorder="1" applyAlignment="1">
      <alignment horizontal="center" vertical="center"/>
    </xf>
    <xf numFmtId="0" fontId="0" fillId="7" borderId="4" xfId="0" applyFill="1" applyBorder="1" applyAlignment="1">
      <alignment horizontal="center" vertical="center"/>
    </xf>
    <xf numFmtId="0" fontId="0" fillId="7" borderId="22" xfId="0" applyFill="1" applyBorder="1" applyAlignment="1">
      <alignment horizontal="center" vertical="center"/>
    </xf>
    <xf numFmtId="20" fontId="0" fillId="8" borderId="21" xfId="0" applyNumberFormat="1" applyFill="1" applyBorder="1"/>
    <xf numFmtId="20" fontId="0" fillId="8" borderId="22" xfId="0" applyNumberFormat="1" applyFill="1" applyBorder="1"/>
    <xf numFmtId="0" fontId="0" fillId="8" borderId="21" xfId="0" applyFill="1" applyBorder="1" applyAlignment="1">
      <alignment horizontal="center" vertical="center"/>
    </xf>
    <xf numFmtId="0" fontId="0" fillId="8" borderId="4" xfId="0" applyFill="1" applyBorder="1" applyAlignment="1">
      <alignment horizontal="center" vertical="center"/>
    </xf>
    <xf numFmtId="0" fontId="0" fillId="8" borderId="22" xfId="0" applyFill="1" applyBorder="1" applyAlignment="1">
      <alignment horizontal="center" vertical="center"/>
    </xf>
    <xf numFmtId="0" fontId="0" fillId="0" borderId="0" xfId="0" applyAlignment="1">
      <alignment horizontal="right"/>
    </xf>
    <xf numFmtId="0" fontId="15" fillId="4" borderId="0" xfId="0" applyFont="1" applyFill="1" applyAlignment="1">
      <alignment horizontal="left" vertical="center"/>
    </xf>
    <xf numFmtId="2" fontId="12" fillId="4" borderId="0" xfId="0" applyNumberFormat="1" applyFont="1" applyFill="1" applyAlignment="1">
      <alignment vertical="center"/>
    </xf>
    <xf numFmtId="0" fontId="12" fillId="4" borderId="0" xfId="0" applyFont="1" applyFill="1" applyAlignment="1">
      <alignment horizontal="center" vertical="center"/>
    </xf>
    <xf numFmtId="0" fontId="2" fillId="2" borderId="17" xfId="0" applyFont="1" applyFill="1" applyBorder="1" applyAlignment="1">
      <alignment horizontal="center" vertical="center" wrapText="1"/>
    </xf>
    <xf numFmtId="9" fontId="2" fillId="2" borderId="17" xfId="1" applyFont="1" applyFill="1" applyBorder="1" applyAlignment="1">
      <alignment horizontal="center" vertical="center"/>
    </xf>
    <xf numFmtId="9" fontId="2" fillId="2" borderId="29" xfId="1" applyFont="1" applyFill="1" applyBorder="1" applyAlignment="1">
      <alignment horizontal="center" vertical="center"/>
    </xf>
    <xf numFmtId="0" fontId="12" fillId="0" borderId="17" xfId="0" applyFont="1" applyBorder="1" applyAlignment="1">
      <alignment horizontal="center" vertical="center"/>
    </xf>
    <xf numFmtId="7" fontId="12" fillId="0" borderId="30" xfId="0" applyNumberFormat="1" applyFont="1" applyBorder="1" applyAlignment="1">
      <alignment horizontal="center" vertical="center"/>
    </xf>
    <xf numFmtId="7" fontId="12" fillId="0" borderId="31" xfId="0" applyNumberFormat="1" applyFont="1" applyBorder="1" applyAlignment="1">
      <alignment horizontal="center" vertical="center"/>
    </xf>
    <xf numFmtId="0" fontId="11" fillId="5" borderId="11" xfId="0" applyFont="1" applyFill="1" applyBorder="1" applyAlignment="1">
      <alignment vertical="center"/>
    </xf>
    <xf numFmtId="0" fontId="11" fillId="5" borderId="32" xfId="0" applyFont="1" applyFill="1" applyBorder="1" applyAlignment="1">
      <alignment horizontal="center" vertical="center"/>
    </xf>
    <xf numFmtId="173" fontId="11" fillId="5" borderId="32" xfId="0" applyNumberFormat="1" applyFont="1" applyFill="1" applyBorder="1" applyAlignment="1">
      <alignment horizontal="center" vertical="center"/>
    </xf>
    <xf numFmtId="7" fontId="12" fillId="4" borderId="0" xfId="0" applyNumberFormat="1" applyFont="1" applyFill="1" applyAlignment="1">
      <alignment vertical="center"/>
    </xf>
    <xf numFmtId="0" fontId="2" fillId="2" borderId="12" xfId="0" applyFont="1" applyFill="1" applyBorder="1" applyAlignment="1">
      <alignment horizontal="center" vertical="center" wrapText="1"/>
    </xf>
    <xf numFmtId="9" fontId="2" fillId="2" borderId="12" xfId="1" applyFont="1" applyFill="1" applyBorder="1" applyAlignment="1">
      <alignment horizontal="center" vertical="center"/>
    </xf>
    <xf numFmtId="9" fontId="2" fillId="2" borderId="28" xfId="1" applyFont="1" applyFill="1" applyBorder="1" applyAlignment="1">
      <alignment horizontal="center" vertical="center"/>
    </xf>
    <xf numFmtId="165" fontId="12" fillId="0" borderId="17" xfId="0" applyNumberFormat="1" applyFont="1" applyBorder="1" applyAlignment="1">
      <alignment horizontal="center" vertical="center"/>
    </xf>
    <xf numFmtId="9" fontId="12" fillId="4" borderId="0" xfId="0" applyNumberFormat="1" applyFont="1" applyFill="1" applyAlignment="1">
      <alignment vertical="center"/>
    </xf>
    <xf numFmtId="174" fontId="12" fillId="0" borderId="17" xfId="0" applyNumberFormat="1" applyFont="1" applyBorder="1" applyAlignment="1">
      <alignment horizontal="center" vertical="center"/>
    </xf>
    <xf numFmtId="166" fontId="12" fillId="0" borderId="17" xfId="0" applyNumberFormat="1" applyFont="1" applyBorder="1" applyAlignment="1">
      <alignment horizontal="center" vertical="center"/>
    </xf>
    <xf numFmtId="174" fontId="11" fillId="5" borderId="17" xfId="0" applyNumberFormat="1" applyFont="1" applyFill="1" applyBorder="1" applyAlignment="1">
      <alignment horizontal="center" vertical="center"/>
    </xf>
    <xf numFmtId="166" fontId="11" fillId="5" borderId="17" xfId="0" applyNumberFormat="1" applyFont="1" applyFill="1" applyBorder="1" applyAlignment="1">
      <alignment horizontal="center" vertical="center"/>
    </xf>
    <xf numFmtId="174" fontId="11" fillId="6" borderId="17" xfId="0" applyNumberFormat="1" applyFont="1" applyFill="1" applyBorder="1" applyAlignment="1">
      <alignment horizontal="center" vertical="center"/>
    </xf>
    <xf numFmtId="166" fontId="11" fillId="6" borderId="17" xfId="0" applyNumberFormat="1" applyFont="1" applyFill="1" applyBorder="1" applyAlignment="1">
      <alignment horizontal="center" vertical="center"/>
    </xf>
    <xf numFmtId="0" fontId="12" fillId="0" borderId="32" xfId="0" applyFont="1" applyBorder="1" applyAlignment="1">
      <alignment horizontal="center" vertical="center"/>
    </xf>
    <xf numFmtId="166" fontId="12" fillId="0" borderId="32" xfId="0" applyNumberFormat="1" applyFont="1" applyBorder="1" applyAlignment="1">
      <alignment horizontal="center" vertical="center"/>
    </xf>
    <xf numFmtId="166" fontId="12" fillId="4" borderId="0" xfId="0" applyNumberFormat="1" applyFont="1" applyFill="1" applyAlignment="1">
      <alignment vertical="center"/>
    </xf>
    <xf numFmtId="0" fontId="9" fillId="0" borderId="19" xfId="0" applyFont="1" applyBorder="1" applyAlignment="1">
      <alignment horizontal="center" vertical="center"/>
    </xf>
    <xf numFmtId="0" fontId="26" fillId="0" borderId="4" xfId="0" applyFont="1" applyBorder="1" applyAlignment="1">
      <alignment horizontal="center" vertical="center"/>
    </xf>
    <xf numFmtId="0" fontId="27" fillId="0" borderId="4" xfId="0" applyFont="1" applyBorder="1" applyAlignment="1">
      <alignment horizontal="center" vertical="center"/>
    </xf>
    <xf numFmtId="0" fontId="27" fillId="0" borderId="4" xfId="0" applyFont="1" applyBorder="1" applyAlignment="1">
      <alignment horizontal="center" vertical="center" wrapText="1"/>
    </xf>
    <xf numFmtId="166" fontId="0" fillId="0" borderId="0" xfId="0" applyNumberFormat="1" applyAlignment="1">
      <alignment horizontal="right" vertical="center" wrapText="1"/>
    </xf>
    <xf numFmtId="44" fontId="0" fillId="0" borderId="0" xfId="4" applyFont="1" applyBorder="1" applyAlignment="1">
      <alignment horizontal="right" vertical="center" wrapText="1"/>
    </xf>
    <xf numFmtId="166" fontId="0" fillId="0" borderId="0" xfId="4" applyNumberFormat="1" applyFont="1" applyBorder="1" applyAlignment="1">
      <alignment horizontal="right"/>
    </xf>
    <xf numFmtId="44" fontId="0" fillId="0" borderId="0" xfId="4" applyFont="1" applyBorder="1" applyAlignment="1">
      <alignment vertical="center"/>
    </xf>
    <xf numFmtId="176" fontId="0" fillId="0" borderId="0" xfId="4" applyNumberFormat="1" applyFont="1" applyBorder="1" applyAlignment="1">
      <alignment vertical="center"/>
    </xf>
    <xf numFmtId="44" fontId="0" fillId="0" borderId="0" xfId="4" applyFont="1" applyBorder="1" applyAlignment="1">
      <alignment horizontal="left" vertical="center" wrapText="1"/>
    </xf>
    <xf numFmtId="0" fontId="18" fillId="0" borderId="0" xfId="0" applyFont="1" applyFill="1" applyAlignment="1">
      <alignment vertical="center"/>
    </xf>
    <xf numFmtId="176" fontId="0" fillId="0" borderId="0" xfId="4" applyNumberFormat="1" applyFont="1" applyBorder="1" applyAlignment="1">
      <alignment horizontal="left" vertical="center" wrapText="1"/>
    </xf>
    <xf numFmtId="176" fontId="0" fillId="0" borderId="0" xfId="4" applyNumberFormat="1" applyFont="1" applyBorder="1" applyAlignment="1">
      <alignment horizontal="right" vertical="center" wrapText="1"/>
    </xf>
    <xf numFmtId="176" fontId="0" fillId="0" borderId="0" xfId="0" applyNumberFormat="1"/>
    <xf numFmtId="176" fontId="0" fillId="0" borderId="0" xfId="4" applyNumberFormat="1" applyFont="1" applyBorder="1" applyAlignment="1">
      <alignment horizontal="center" vertical="center" wrapText="1"/>
    </xf>
    <xf numFmtId="0" fontId="2" fillId="0" borderId="0" xfId="0" applyFont="1" applyFill="1"/>
    <xf numFmtId="1" fontId="10" fillId="9" borderId="4" xfId="0" applyNumberFormat="1" applyFont="1" applyFill="1" applyBorder="1" applyAlignment="1">
      <alignment horizontal="center"/>
    </xf>
    <xf numFmtId="0" fontId="28" fillId="0" borderId="0" xfId="0" applyFont="1"/>
    <xf numFmtId="0" fontId="28" fillId="0" borderId="0" xfId="0" applyFont="1" applyAlignment="1">
      <alignment horizontal="center"/>
    </xf>
    <xf numFmtId="0" fontId="28" fillId="0" borderId="0" xfId="0" applyFont="1" applyAlignment="1">
      <alignment horizontal="left"/>
    </xf>
    <xf numFmtId="0" fontId="0" fillId="0" borderId="1" xfId="0" applyBorder="1" applyAlignment="1">
      <alignment horizontal="right"/>
    </xf>
    <xf numFmtId="0" fontId="0" fillId="0" borderId="0" xfId="0" applyFont="1"/>
    <xf numFmtId="0" fontId="0" fillId="0" borderId="0" xfId="0" applyFont="1" applyAlignment="1">
      <alignment horizontal="left"/>
    </xf>
    <xf numFmtId="0" fontId="10" fillId="0" borderId="0" xfId="0" applyFont="1" applyBorder="1" applyAlignment="1">
      <alignment wrapText="1"/>
    </xf>
    <xf numFmtId="0" fontId="0" fillId="0" borderId="0" xfId="4" applyNumberFormat="1" applyFont="1" applyBorder="1" applyAlignment="1">
      <alignment horizontal="right"/>
    </xf>
    <xf numFmtId="0" fontId="0" fillId="0" borderId="0" xfId="4" applyNumberFormat="1" applyFont="1" applyBorder="1"/>
    <xf numFmtId="1" fontId="0" fillId="0" borderId="0" xfId="4" applyNumberFormat="1" applyFont="1" applyBorder="1"/>
    <xf numFmtId="166" fontId="0" fillId="0" borderId="0" xfId="4" applyNumberFormat="1" applyFont="1" applyBorder="1"/>
    <xf numFmtId="0" fontId="10" fillId="0" borderId="0" xfId="0" applyFont="1" applyBorder="1" applyAlignment="1">
      <alignment horizontal="left"/>
    </xf>
    <xf numFmtId="0" fontId="0" fillId="0" borderId="0" xfId="0" applyFont="1" applyBorder="1"/>
    <xf numFmtId="0" fontId="0" fillId="0" borderId="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166" fontId="0" fillId="0" borderId="0" xfId="0" applyNumberFormat="1" applyFont="1"/>
    <xf numFmtId="166" fontId="0" fillId="0" borderId="0" xfId="0" applyNumberFormat="1" applyFont="1" applyBorder="1"/>
    <xf numFmtId="2" fontId="0" fillId="0" borderId="0" xfId="0" applyNumberFormat="1"/>
    <xf numFmtId="1" fontId="0" fillId="0" borderId="0" xfId="4" applyNumberFormat="1" applyFont="1" applyBorder="1" applyAlignment="1">
      <alignment horizontal="right"/>
    </xf>
    <xf numFmtId="171" fontId="0" fillId="0" borderId="0" xfId="4" applyNumberFormat="1" applyFont="1" applyBorder="1"/>
    <xf numFmtId="166" fontId="3" fillId="0" borderId="0" xfId="0" applyNumberFormat="1" applyFont="1"/>
    <xf numFmtId="170" fontId="0" fillId="0" borderId="0" xfId="0" applyNumberFormat="1" applyFont="1" applyBorder="1"/>
    <xf numFmtId="176" fontId="0" fillId="0" borderId="0" xfId="4" applyNumberFormat="1" applyFont="1"/>
    <xf numFmtId="2" fontId="12" fillId="0" borderId="4" xfId="0" applyNumberFormat="1" applyFont="1" applyBorder="1" applyAlignment="1">
      <alignment horizontal="center" vertical="center"/>
    </xf>
    <xf numFmtId="43" fontId="0" fillId="0" borderId="0" xfId="0" applyNumberFormat="1"/>
    <xf numFmtId="168" fontId="28" fillId="0" borderId="0" xfId="3" applyNumberFormat="1" applyFont="1" applyAlignment="1">
      <alignment horizontal="center" vertical="center"/>
    </xf>
    <xf numFmtId="0" fontId="29" fillId="0" borderId="4" xfId="0" applyFont="1" applyBorder="1" applyAlignment="1">
      <alignment horizontal="center" wrapText="1"/>
    </xf>
    <xf numFmtId="0" fontId="29" fillId="0" borderId="22" xfId="0" applyFont="1" applyBorder="1" applyAlignment="1">
      <alignment horizontal="center" wrapText="1"/>
    </xf>
    <xf numFmtId="0" fontId="28" fillId="0" borderId="4" xfId="4" applyNumberFormat="1" applyFont="1" applyBorder="1"/>
    <xf numFmtId="166" fontId="28" fillId="0" borderId="4" xfId="4" applyNumberFormat="1" applyFont="1" applyBorder="1"/>
    <xf numFmtId="166" fontId="28" fillId="0" borderId="22" xfId="4" applyNumberFormat="1" applyFont="1" applyBorder="1"/>
    <xf numFmtId="0" fontId="28" fillId="0" borderId="22" xfId="4" applyNumberFormat="1" applyFont="1" applyBorder="1"/>
    <xf numFmtId="0" fontId="28" fillId="0" borderId="35" xfId="4" applyNumberFormat="1" applyFont="1" applyBorder="1"/>
    <xf numFmtId="14" fontId="0" fillId="0" borderId="0" xfId="0" applyNumberFormat="1"/>
    <xf numFmtId="166" fontId="29" fillId="11" borderId="24" xfId="4" applyNumberFormat="1" applyFont="1" applyFill="1" applyBorder="1"/>
    <xf numFmtId="166" fontId="29" fillId="11" borderId="25" xfId="4" applyNumberFormat="1" applyFont="1" applyFill="1" applyBorder="1"/>
    <xf numFmtId="175" fontId="2" fillId="0" borderId="0" xfId="0" applyNumberFormat="1" applyFont="1"/>
    <xf numFmtId="0" fontId="0" fillId="0" borderId="0" xfId="0" applyFont="1" applyAlignment="1"/>
    <xf numFmtId="0" fontId="2" fillId="10" borderId="13" xfId="0" applyFont="1" applyFill="1" applyBorder="1"/>
    <xf numFmtId="0" fontId="2" fillId="10" borderId="14" xfId="0" applyFont="1" applyFill="1" applyBorder="1"/>
    <xf numFmtId="0" fontId="2" fillId="10" borderId="5" xfId="0" applyFont="1" applyFill="1" applyBorder="1"/>
    <xf numFmtId="0" fontId="29" fillId="0" borderId="21" xfId="0" applyFont="1" applyBorder="1" applyAlignment="1">
      <alignment horizontal="center" wrapText="1"/>
    </xf>
    <xf numFmtId="166" fontId="28" fillId="0" borderId="21" xfId="4" applyNumberFormat="1" applyFont="1" applyBorder="1"/>
    <xf numFmtId="166" fontId="29" fillId="11" borderId="23" xfId="4" applyNumberFormat="1" applyFont="1" applyFill="1" applyBorder="1"/>
    <xf numFmtId="167" fontId="12" fillId="0" borderId="32" xfId="0" applyNumberFormat="1" applyFont="1" applyBorder="1" applyAlignment="1">
      <alignment horizontal="center" vertical="center"/>
    </xf>
    <xf numFmtId="165" fontId="12" fillId="0" borderId="29" xfId="0" applyNumberFormat="1" applyFont="1" applyBorder="1" applyAlignment="1">
      <alignment horizontal="center" vertical="center"/>
    </xf>
    <xf numFmtId="171" fontId="0" fillId="0" borderId="0" xfId="1" applyNumberFormat="1" applyFont="1"/>
    <xf numFmtId="166" fontId="12" fillId="0" borderId="0" xfId="0" applyNumberFormat="1" applyFont="1" applyBorder="1" applyAlignment="1">
      <alignment horizontal="center" vertical="center"/>
    </xf>
    <xf numFmtId="0" fontId="0" fillId="0" borderId="0" xfId="0" applyAlignment="1"/>
    <xf numFmtId="0" fontId="5" fillId="2" borderId="4" xfId="0" applyFont="1" applyFill="1" applyBorder="1" applyAlignment="1">
      <alignment horizontal="center"/>
    </xf>
    <xf numFmtId="0" fontId="12" fillId="0" borderId="6" xfId="0" applyFont="1" applyBorder="1" applyAlignment="1">
      <alignment vertical="center"/>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4" xfId="0" applyFont="1" applyBorder="1" applyAlignment="1"/>
    <xf numFmtId="0" fontId="12" fillId="0" borderId="4" xfId="0" applyFont="1" applyBorder="1" applyAlignment="1">
      <alignment horizontal="left"/>
    </xf>
    <xf numFmtId="0" fontId="0" fillId="4" borderId="4" xfId="0" applyFill="1" applyBorder="1" applyAlignment="1">
      <alignment vertical="center"/>
    </xf>
    <xf numFmtId="0" fontId="0" fillId="4" borderId="0" xfId="0" applyFill="1" applyAlignment="1"/>
    <xf numFmtId="0" fontId="12" fillId="0" borderId="0" xfId="0" applyFont="1" applyAlignment="1">
      <alignment horizontal="center" vertical="center"/>
    </xf>
    <xf numFmtId="0" fontId="22" fillId="0" borderId="0" xfId="0" applyFont="1" applyAlignment="1"/>
    <xf numFmtId="9" fontId="0" fillId="4" borderId="4" xfId="0" applyNumberFormat="1" applyFill="1" applyBorder="1" applyAlignment="1">
      <alignment horizontal="center" vertical="center"/>
    </xf>
    <xf numFmtId="0" fontId="0" fillId="4" borderId="0" xfId="0" applyFill="1" applyAlignment="1">
      <alignment horizontal="center" vertical="center"/>
    </xf>
    <xf numFmtId="0" fontId="12" fillId="0" borderId="0" xfId="0" applyFont="1" applyAlignment="1"/>
    <xf numFmtId="3" fontId="0" fillId="0" borderId="0" xfId="0" applyNumberFormat="1"/>
    <xf numFmtId="165" fontId="12" fillId="0" borderId="36" xfId="0" applyNumberFormat="1" applyFont="1" applyBorder="1" applyAlignment="1">
      <alignment horizontal="center" vertical="center"/>
    </xf>
    <xf numFmtId="165" fontId="12" fillId="0" borderId="37" xfId="0" applyNumberFormat="1" applyFont="1" applyBorder="1" applyAlignment="1">
      <alignment horizontal="center" vertical="center"/>
    </xf>
    <xf numFmtId="2" fontId="11" fillId="0" borderId="38" xfId="0" applyNumberFormat="1" applyFont="1" applyBorder="1" applyAlignment="1">
      <alignment horizontal="center" vertical="center"/>
    </xf>
    <xf numFmtId="164" fontId="28" fillId="0" borderId="4" xfId="1" applyNumberFormat="1" applyFont="1" applyBorder="1"/>
    <xf numFmtId="164" fontId="28" fillId="0" borderId="22" xfId="1" applyNumberFormat="1" applyFont="1" applyBorder="1"/>
    <xf numFmtId="7" fontId="0" fillId="0" borderId="0" xfId="0" applyNumberFormat="1"/>
    <xf numFmtId="164" fontId="0" fillId="0" borderId="0" xfId="1" applyNumberFormat="1" applyFont="1"/>
    <xf numFmtId="167" fontId="0" fillId="0" borderId="0" xfId="4" applyNumberFormat="1" applyFont="1" applyBorder="1"/>
    <xf numFmtId="177" fontId="12" fillId="0" borderId="17" xfId="0" applyNumberFormat="1" applyFont="1" applyBorder="1" applyAlignment="1">
      <alignment horizontal="center" vertical="center"/>
    </xf>
    <xf numFmtId="8" fontId="0" fillId="0" borderId="0" xfId="0" applyNumberFormat="1"/>
    <xf numFmtId="171" fontId="7" fillId="0" borderId="0" xfId="0" applyNumberFormat="1" applyFont="1"/>
    <xf numFmtId="178" fontId="0" fillId="0" borderId="0" xfId="3" applyNumberFormat="1" applyFont="1" applyFill="1"/>
    <xf numFmtId="0" fontId="0" fillId="0" borderId="0" xfId="0" applyAlignment="1">
      <alignment vertical="top"/>
    </xf>
    <xf numFmtId="0" fontId="0" fillId="0" borderId="41" xfId="0" applyBorder="1"/>
    <xf numFmtId="8" fontId="30" fillId="0" borderId="0" xfId="0" applyNumberFormat="1" applyFont="1" applyBorder="1" applyAlignment="1">
      <alignment horizontal="center" vertical="center"/>
    </xf>
    <xf numFmtId="8" fontId="0" fillId="0" borderId="0" xfId="0" applyNumberFormat="1" applyBorder="1"/>
    <xf numFmtId="0" fontId="30" fillId="0" borderId="0" xfId="0" applyFont="1" applyBorder="1" applyAlignment="1">
      <alignment horizontal="center" vertical="center"/>
    </xf>
    <xf numFmtId="0" fontId="0" fillId="0" borderId="42" xfId="0" applyBorder="1"/>
    <xf numFmtId="0" fontId="0" fillId="0" borderId="43" xfId="0" applyBorder="1"/>
    <xf numFmtId="0" fontId="0" fillId="0" borderId="44" xfId="0" applyBorder="1"/>
    <xf numFmtId="0" fontId="0" fillId="0" borderId="45" xfId="0" applyBorder="1"/>
    <xf numFmtId="167" fontId="0" fillId="0" borderId="0" xfId="0" applyNumberFormat="1" applyBorder="1"/>
    <xf numFmtId="0" fontId="0" fillId="0" borderId="46" xfId="0" applyBorder="1"/>
    <xf numFmtId="167" fontId="0" fillId="0" borderId="47" xfId="0" applyNumberFormat="1" applyBorder="1"/>
    <xf numFmtId="167" fontId="0" fillId="0" borderId="46" xfId="0" applyNumberFormat="1" applyBorder="1"/>
    <xf numFmtId="0" fontId="0" fillId="0" borderId="48" xfId="0" applyBorder="1"/>
    <xf numFmtId="2" fontId="0" fillId="0" borderId="41" xfId="0" applyNumberFormat="1" applyBorder="1"/>
    <xf numFmtId="2" fontId="0" fillId="0" borderId="47" xfId="0" applyNumberFormat="1" applyBorder="1"/>
    <xf numFmtId="179" fontId="12" fillId="0" borderId="30" xfId="0" applyNumberFormat="1" applyFont="1" applyBorder="1" applyAlignment="1">
      <alignment horizontal="center" vertical="center"/>
    </xf>
    <xf numFmtId="179" fontId="12" fillId="0" borderId="31" xfId="0" applyNumberFormat="1" applyFont="1" applyBorder="1" applyAlignment="1">
      <alignment horizontal="center" vertical="center"/>
    </xf>
    <xf numFmtId="180" fontId="12" fillId="0" borderId="30" xfId="0" applyNumberFormat="1" applyFont="1" applyBorder="1" applyAlignment="1">
      <alignment horizontal="center" vertical="center"/>
    </xf>
    <xf numFmtId="180" fontId="12" fillId="0" borderId="31" xfId="0" applyNumberFormat="1" applyFont="1" applyBorder="1" applyAlignment="1">
      <alignment horizontal="center" vertical="center"/>
    </xf>
    <xf numFmtId="0" fontId="0" fillId="12" borderId="0" xfId="0" applyFill="1"/>
    <xf numFmtId="176" fontId="0" fillId="12" borderId="0" xfId="4" applyNumberFormat="1" applyFont="1" applyFill="1"/>
    <xf numFmtId="2" fontId="0" fillId="0" borderId="0" xfId="4" applyNumberFormat="1" applyFont="1" applyBorder="1" applyAlignment="1">
      <alignment horizontal="right"/>
    </xf>
    <xf numFmtId="8" fontId="0" fillId="0" borderId="0" xfId="0" applyNumberFormat="1" applyFill="1"/>
    <xf numFmtId="0" fontId="12" fillId="0" borderId="4" xfId="0" applyFont="1" applyFill="1" applyBorder="1" applyAlignment="1"/>
    <xf numFmtId="44" fontId="0" fillId="0" borderId="0" xfId="4" applyFont="1" applyBorder="1" applyAlignment="1">
      <alignment horizontal="right" vertical="center"/>
    </xf>
    <xf numFmtId="0" fontId="0" fillId="0" borderId="0" xfId="0" applyFill="1" applyAlignment="1">
      <alignment wrapText="1"/>
    </xf>
    <xf numFmtId="44" fontId="11" fillId="0" borderId="38" xfId="4" applyFont="1" applyBorder="1" applyAlignment="1">
      <alignment horizontal="center" vertical="center"/>
    </xf>
    <xf numFmtId="44" fontId="11" fillId="0" borderId="4" xfId="4" applyFont="1" applyBorder="1" applyAlignment="1">
      <alignment horizontal="center" vertical="center"/>
    </xf>
    <xf numFmtId="0" fontId="0" fillId="0" borderId="0" xfId="0" applyFont="1" applyFill="1"/>
    <xf numFmtId="0" fontId="12" fillId="0" borderId="4" xfId="0" applyFont="1" applyFill="1" applyBorder="1"/>
    <xf numFmtId="0" fontId="0" fillId="0" borderId="4" xfId="0" applyFill="1" applyBorder="1" applyAlignment="1">
      <alignment horizontal="center" vertical="center"/>
    </xf>
    <xf numFmtId="1" fontId="12" fillId="0" borderId="4" xfId="0" applyNumberFormat="1" applyFont="1" applyFill="1" applyBorder="1" applyAlignment="1">
      <alignment horizontal="center" vertical="center"/>
    </xf>
    <xf numFmtId="0" fontId="0" fillId="0" borderId="0" xfId="0" applyFill="1"/>
    <xf numFmtId="0" fontId="30" fillId="0" borderId="0" xfId="0" applyFont="1" applyBorder="1" applyAlignment="1">
      <alignment horizontal="center" vertical="center"/>
    </xf>
    <xf numFmtId="0" fontId="11" fillId="4" borderId="11" xfId="0" applyFont="1" applyFill="1" applyBorder="1" applyAlignment="1">
      <alignment horizontal="left" vertical="center"/>
    </xf>
    <xf numFmtId="0" fontId="11" fillId="4" borderId="3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7" xfId="0" applyFont="1" applyFill="1" applyBorder="1" applyAlignment="1">
      <alignment horizontal="left"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8" xfId="0" applyFont="1" applyFill="1" applyBorder="1" applyAlignment="1">
      <alignment horizontal="center" vertical="center"/>
    </xf>
    <xf numFmtId="0" fontId="12" fillId="4" borderId="33" xfId="0" applyFont="1" applyFill="1" applyBorder="1" applyAlignment="1">
      <alignment horizontal="left" vertical="center"/>
    </xf>
    <xf numFmtId="0" fontId="12" fillId="4" borderId="34" xfId="0" applyFont="1" applyFill="1" applyBorder="1" applyAlignment="1">
      <alignment horizontal="left" vertical="center"/>
    </xf>
    <xf numFmtId="0" fontId="12" fillId="4" borderId="40" xfId="0" applyFont="1" applyFill="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9" fillId="7" borderId="18" xfId="0" applyFont="1" applyFill="1" applyBorder="1" applyAlignment="1">
      <alignment horizontal="center"/>
    </xf>
    <xf numFmtId="0" fontId="29" fillId="7" borderId="19" xfId="0" applyFont="1" applyFill="1" applyBorder="1" applyAlignment="1">
      <alignment horizontal="center"/>
    </xf>
    <xf numFmtId="0" fontId="29" fillId="7" borderId="20" xfId="0" applyFont="1" applyFill="1" applyBorder="1" applyAlignment="1">
      <alignment horizontal="center"/>
    </xf>
  </cellXfs>
  <cellStyles count="8">
    <cellStyle name="Comma" xfId="3" builtinId="3"/>
    <cellStyle name="Currency" xfId="4" builtinId="4"/>
    <cellStyle name="Good" xfId="5" builtinId="26"/>
    <cellStyle name="Normal" xfId="0" builtinId="0"/>
    <cellStyle name="Normal 10 3" xfId="2" xr:uid="{C9F8D406-4A7B-4EF5-BF4B-F877DF865F23}"/>
    <cellStyle name="Normal 2" xfId="7" xr:uid="{0C640010-5270-4500-8B91-96A19C903D84}"/>
    <cellStyle name="Percent" xfId="1" builtinId="5"/>
    <cellStyle name="Percent 6" xfId="6" xr:uid="{E78C2242-6BBA-48DB-97ED-554F164826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478C-34D6-4B7E-9E34-BF4EFF2465C9}">
  <sheetPr>
    <pageSetUpPr fitToPage="1"/>
  </sheetPr>
  <dimension ref="B2:G53"/>
  <sheetViews>
    <sheetView topLeftCell="A43" workbookViewId="0">
      <selection activeCell="D18" sqref="D18"/>
    </sheetView>
  </sheetViews>
  <sheetFormatPr defaultRowHeight="15" x14ac:dyDescent="0.25"/>
  <cols>
    <col min="1" max="1" width="5.42578125" customWidth="1"/>
    <col min="2" max="2" width="39.7109375" customWidth="1"/>
    <col min="3" max="3" width="21.7109375" style="223" bestFit="1" customWidth="1"/>
    <col min="4" max="4" width="18.28515625" style="71" customWidth="1"/>
    <col min="5" max="5" width="116.28515625" style="223" bestFit="1" customWidth="1"/>
    <col min="6" max="6" width="7.140625" customWidth="1"/>
    <col min="7" max="8" width="9.85546875" bestFit="1" customWidth="1"/>
    <col min="9" max="9" width="10.85546875" bestFit="1" customWidth="1"/>
  </cols>
  <sheetData>
    <row r="2" spans="2:7" ht="23.25" x14ac:dyDescent="0.35">
      <c r="B2" s="72" t="s">
        <v>68</v>
      </c>
      <c r="C2" s="233"/>
    </row>
    <row r="3" spans="2:7" x14ac:dyDescent="0.25">
      <c r="B3" s="73" t="s">
        <v>68</v>
      </c>
      <c r="C3" s="74" t="s">
        <v>69</v>
      </c>
      <c r="D3" s="74" t="s">
        <v>29</v>
      </c>
      <c r="E3" s="224" t="s">
        <v>70</v>
      </c>
    </row>
    <row r="4" spans="2:7" x14ac:dyDescent="0.25">
      <c r="B4" s="75" t="s">
        <v>71</v>
      </c>
      <c r="C4" s="234" t="s">
        <v>7</v>
      </c>
      <c r="D4" s="76">
        <v>7.0000000000000007E-2</v>
      </c>
      <c r="E4" s="225" t="s">
        <v>107</v>
      </c>
    </row>
    <row r="5" spans="2:7" x14ac:dyDescent="0.25">
      <c r="B5" s="75" t="s">
        <v>72</v>
      </c>
      <c r="C5" s="77" t="s">
        <v>7</v>
      </c>
      <c r="D5" s="76">
        <v>0.03</v>
      </c>
      <c r="E5" s="225" t="s">
        <v>107</v>
      </c>
    </row>
    <row r="6" spans="2:7" x14ac:dyDescent="0.25">
      <c r="B6" s="75" t="s">
        <v>73</v>
      </c>
      <c r="C6" s="77" t="s">
        <v>38</v>
      </c>
      <c r="D6" s="78">
        <v>2020</v>
      </c>
      <c r="E6" s="225" t="s">
        <v>107</v>
      </c>
    </row>
    <row r="7" spans="2:7" x14ac:dyDescent="0.25">
      <c r="B7" s="79" t="s">
        <v>74</v>
      </c>
      <c r="C7" s="77" t="s">
        <v>38</v>
      </c>
      <c r="D7" s="80">
        <v>2027</v>
      </c>
      <c r="E7" s="226" t="s">
        <v>261</v>
      </c>
    </row>
    <row r="8" spans="2:7" x14ac:dyDescent="0.25">
      <c r="B8" s="79" t="s">
        <v>75</v>
      </c>
      <c r="C8" s="77" t="s">
        <v>38</v>
      </c>
      <c r="D8" s="80">
        <v>20</v>
      </c>
      <c r="E8" s="226" t="s">
        <v>262</v>
      </c>
    </row>
    <row r="9" spans="2:7" x14ac:dyDescent="0.25">
      <c r="B9" s="79" t="s">
        <v>76</v>
      </c>
      <c r="C9" s="77" t="s">
        <v>38</v>
      </c>
      <c r="D9" s="80">
        <v>2046</v>
      </c>
      <c r="E9" s="226" t="s">
        <v>263</v>
      </c>
    </row>
    <row r="10" spans="2:7" x14ac:dyDescent="0.25">
      <c r="B10" s="14" t="s">
        <v>260</v>
      </c>
      <c r="C10" s="77" t="s">
        <v>38</v>
      </c>
      <c r="D10" s="80">
        <v>2018</v>
      </c>
      <c r="E10" s="227" t="s">
        <v>264</v>
      </c>
    </row>
    <row r="11" spans="2:7" x14ac:dyDescent="0.25">
      <c r="B11" s="280" t="s">
        <v>77</v>
      </c>
      <c r="C11" s="281" t="s">
        <v>61</v>
      </c>
      <c r="D11" s="282"/>
      <c r="E11" s="226" t="s">
        <v>78</v>
      </c>
    </row>
    <row r="12" spans="2:7" x14ac:dyDescent="0.25">
      <c r="B12" s="13" t="s">
        <v>79</v>
      </c>
      <c r="C12" s="77" t="s">
        <v>38</v>
      </c>
      <c r="D12" s="81">
        <v>45923</v>
      </c>
      <c r="E12" s="227" t="s">
        <v>265</v>
      </c>
    </row>
    <row r="13" spans="2:7" x14ac:dyDescent="0.25">
      <c r="B13" s="13" t="s">
        <v>80</v>
      </c>
      <c r="C13" s="77" t="s">
        <v>38</v>
      </c>
      <c r="D13" s="81">
        <v>46594</v>
      </c>
      <c r="E13" s="227" t="s">
        <v>265</v>
      </c>
    </row>
    <row r="14" spans="2:7" x14ac:dyDescent="0.25">
      <c r="B14" s="82" t="s">
        <v>354</v>
      </c>
      <c r="C14" s="77" t="s">
        <v>81</v>
      </c>
      <c r="D14" s="83">
        <v>1.0404599999999999</v>
      </c>
      <c r="E14" s="226" t="s">
        <v>82</v>
      </c>
      <c r="G14">
        <f>1.1932/1.1468</f>
        <v>1.0404604115800489</v>
      </c>
    </row>
    <row r="15" spans="2:7" x14ac:dyDescent="0.25">
      <c r="B15" s="84"/>
      <c r="C15" s="235"/>
      <c r="E15" s="27"/>
    </row>
    <row r="16" spans="2:7" x14ac:dyDescent="0.25">
      <c r="B16" s="73" t="s">
        <v>83</v>
      </c>
      <c r="C16" s="74" t="s">
        <v>69</v>
      </c>
      <c r="D16" s="74" t="s">
        <v>29</v>
      </c>
      <c r="E16" s="224" t="s">
        <v>70</v>
      </c>
    </row>
    <row r="17" spans="2:5" x14ac:dyDescent="0.25">
      <c r="B17" s="75" t="s">
        <v>348</v>
      </c>
      <c r="C17" s="234" t="s">
        <v>347</v>
      </c>
      <c r="D17" s="85">
        <v>12595</v>
      </c>
      <c r="E17" s="229" t="s">
        <v>303</v>
      </c>
    </row>
    <row r="18" spans="2:5" x14ac:dyDescent="0.25">
      <c r="B18" s="75" t="s">
        <v>84</v>
      </c>
      <c r="C18" s="77" t="s">
        <v>7</v>
      </c>
      <c r="D18" s="86">
        <v>3.3500000000000002E-2</v>
      </c>
      <c r="E18" s="274" t="s">
        <v>30</v>
      </c>
    </row>
    <row r="19" spans="2:5" x14ac:dyDescent="0.25">
      <c r="B19" s="79" t="s">
        <v>85</v>
      </c>
      <c r="C19" s="77" t="s">
        <v>36</v>
      </c>
      <c r="D19" s="87">
        <v>0.25</v>
      </c>
      <c r="E19" s="229" t="s">
        <v>86</v>
      </c>
    </row>
    <row r="20" spans="2:5" x14ac:dyDescent="0.25">
      <c r="B20" s="75" t="s">
        <v>87</v>
      </c>
      <c r="C20" s="77" t="s">
        <v>37</v>
      </c>
      <c r="D20" s="87">
        <v>5</v>
      </c>
      <c r="E20" s="229" t="s">
        <v>355</v>
      </c>
    </row>
    <row r="21" spans="2:5" x14ac:dyDescent="0.25">
      <c r="B21" s="79" t="s">
        <v>267</v>
      </c>
      <c r="C21" s="77" t="s">
        <v>36</v>
      </c>
      <c r="D21" s="87">
        <v>0.25</v>
      </c>
      <c r="E21" s="229" t="s">
        <v>86</v>
      </c>
    </row>
    <row r="22" spans="2:5" x14ac:dyDescent="0.25">
      <c r="B22" s="75" t="s">
        <v>268</v>
      </c>
      <c r="C22" s="77" t="s">
        <v>37</v>
      </c>
      <c r="D22" s="87">
        <v>5</v>
      </c>
      <c r="E22" s="229" t="s">
        <v>355</v>
      </c>
    </row>
    <row r="23" spans="2:5" x14ac:dyDescent="0.25">
      <c r="B23" s="75" t="s">
        <v>245</v>
      </c>
      <c r="C23" s="77" t="s">
        <v>349</v>
      </c>
      <c r="D23" s="87">
        <v>9</v>
      </c>
      <c r="E23" s="229" t="s">
        <v>356</v>
      </c>
    </row>
    <row r="24" spans="2:5" x14ac:dyDescent="0.25">
      <c r="B24" s="13" t="s">
        <v>266</v>
      </c>
      <c r="C24" s="17" t="s">
        <v>88</v>
      </c>
      <c r="D24" s="198">
        <v>3.35</v>
      </c>
      <c r="E24" s="228" t="s">
        <v>297</v>
      </c>
    </row>
    <row r="25" spans="2:5" x14ac:dyDescent="0.25">
      <c r="B25" s="89" t="s">
        <v>89</v>
      </c>
      <c r="C25" s="87" t="s">
        <v>90</v>
      </c>
      <c r="D25" s="90">
        <v>1.67</v>
      </c>
      <c r="E25" s="225" t="s">
        <v>104</v>
      </c>
    </row>
    <row r="26" spans="2:5" x14ac:dyDescent="0.25">
      <c r="B26" s="89" t="s">
        <v>92</v>
      </c>
      <c r="C26" s="91" t="s">
        <v>61</v>
      </c>
      <c r="D26" s="85">
        <v>365</v>
      </c>
      <c r="E26" s="230"/>
    </row>
    <row r="27" spans="2:5" x14ac:dyDescent="0.25">
      <c r="B27" s="92"/>
      <c r="C27" s="93"/>
      <c r="D27" s="94"/>
      <c r="E27" s="231"/>
    </row>
    <row r="28" spans="2:5" x14ac:dyDescent="0.25">
      <c r="B28" s="73" t="s">
        <v>93</v>
      </c>
      <c r="C28" s="74" t="s">
        <v>69</v>
      </c>
      <c r="D28" s="74" t="s">
        <v>29</v>
      </c>
      <c r="E28" s="224" t="s">
        <v>70</v>
      </c>
    </row>
    <row r="29" spans="2:5" x14ac:dyDescent="0.25">
      <c r="B29" s="89" t="s">
        <v>94</v>
      </c>
      <c r="C29" s="234"/>
      <c r="D29" s="76"/>
      <c r="E29" s="227"/>
    </row>
    <row r="30" spans="2:5" x14ac:dyDescent="0.25">
      <c r="B30" s="89" t="s">
        <v>105</v>
      </c>
      <c r="C30" s="234" t="s">
        <v>106</v>
      </c>
      <c r="D30" s="96">
        <v>32.4</v>
      </c>
      <c r="E30" s="225" t="s">
        <v>107</v>
      </c>
    </row>
    <row r="31" spans="2:5" x14ac:dyDescent="0.25">
      <c r="B31" s="95" t="s">
        <v>95</v>
      </c>
      <c r="C31" s="17" t="s">
        <v>96</v>
      </c>
      <c r="D31" s="96">
        <v>17.8</v>
      </c>
      <c r="E31" s="225" t="s">
        <v>107</v>
      </c>
    </row>
    <row r="32" spans="2:5" x14ac:dyDescent="0.25">
      <c r="B32" s="95" t="s">
        <v>41</v>
      </c>
      <c r="C32" s="17" t="s">
        <v>96</v>
      </c>
      <c r="D32" s="96">
        <v>32</v>
      </c>
      <c r="E32" s="225" t="s">
        <v>107</v>
      </c>
    </row>
    <row r="33" spans="2:5" x14ac:dyDescent="0.25">
      <c r="B33" s="14" t="s">
        <v>97</v>
      </c>
      <c r="C33" s="97"/>
      <c r="D33" s="98"/>
      <c r="E33" s="225"/>
    </row>
    <row r="34" spans="2:5" x14ac:dyDescent="0.25">
      <c r="B34" s="95" t="s">
        <v>32</v>
      </c>
      <c r="C34" s="17" t="s">
        <v>33</v>
      </c>
      <c r="D34" s="99">
        <v>11600000</v>
      </c>
      <c r="E34" s="225" t="s">
        <v>107</v>
      </c>
    </row>
    <row r="35" spans="2:5" x14ac:dyDescent="0.25">
      <c r="B35" s="95" t="s">
        <v>34</v>
      </c>
      <c r="C35" s="17" t="s">
        <v>33</v>
      </c>
      <c r="D35" s="99">
        <v>210300</v>
      </c>
      <c r="E35" s="225" t="s">
        <v>107</v>
      </c>
    </row>
    <row r="36" spans="2:5" x14ac:dyDescent="0.25">
      <c r="B36" s="95" t="s">
        <v>35</v>
      </c>
      <c r="C36" s="17" t="s">
        <v>98</v>
      </c>
      <c r="D36" s="99">
        <v>4600</v>
      </c>
      <c r="E36" s="225" t="s">
        <v>107</v>
      </c>
    </row>
    <row r="37" spans="2:5" x14ac:dyDescent="0.25">
      <c r="B37" s="14" t="s">
        <v>46</v>
      </c>
      <c r="C37" s="17"/>
      <c r="D37" s="99"/>
      <c r="E37" s="225"/>
    </row>
    <row r="38" spans="2:5" x14ac:dyDescent="0.25">
      <c r="B38" s="88" t="s">
        <v>39</v>
      </c>
      <c r="C38" s="17" t="s">
        <v>40</v>
      </c>
      <c r="D38" s="96">
        <v>0.45</v>
      </c>
      <c r="E38" s="225" t="s">
        <v>107</v>
      </c>
    </row>
    <row r="39" spans="2:5" x14ac:dyDescent="0.25">
      <c r="B39" s="88" t="s">
        <v>41</v>
      </c>
      <c r="C39" s="17" t="s">
        <v>40</v>
      </c>
      <c r="D39" s="96">
        <v>0.94</v>
      </c>
      <c r="E39" s="227" t="s">
        <v>107</v>
      </c>
    </row>
    <row r="40" spans="2:5" x14ac:dyDescent="0.25">
      <c r="B40" s="100"/>
      <c r="C40" s="236"/>
      <c r="D40" s="101"/>
      <c r="E40" s="232"/>
    </row>
    <row r="41" spans="2:5" x14ac:dyDescent="0.25">
      <c r="B41" s="73" t="s">
        <v>99</v>
      </c>
      <c r="C41" s="74" t="s">
        <v>69</v>
      </c>
      <c r="D41" s="74" t="s">
        <v>29</v>
      </c>
      <c r="E41" s="224" t="s">
        <v>70</v>
      </c>
    </row>
    <row r="42" spans="2:5" x14ac:dyDescent="0.25">
      <c r="B42" s="89" t="s">
        <v>100</v>
      </c>
      <c r="C42" s="17"/>
      <c r="D42" s="91"/>
      <c r="E42" s="227"/>
    </row>
    <row r="43" spans="2:5" x14ac:dyDescent="0.25">
      <c r="B43" s="95" t="s">
        <v>101</v>
      </c>
      <c r="C43" s="17" t="s">
        <v>109</v>
      </c>
      <c r="D43" s="99">
        <f>15600*0.97</f>
        <v>15132</v>
      </c>
      <c r="E43" s="227" t="s">
        <v>230</v>
      </c>
    </row>
    <row r="44" spans="2:5" x14ac:dyDescent="0.25">
      <c r="B44" s="95" t="s">
        <v>102</v>
      </c>
      <c r="C44" s="17" t="s">
        <v>109</v>
      </c>
      <c r="D44" s="99">
        <f>748600*0.97</f>
        <v>726142</v>
      </c>
      <c r="E44" s="227" t="s">
        <v>230</v>
      </c>
    </row>
    <row r="45" spans="2:5" x14ac:dyDescent="0.25">
      <c r="B45" s="95" t="s">
        <v>103</v>
      </c>
      <c r="C45" s="17" t="s">
        <v>109</v>
      </c>
      <c r="D45" s="99">
        <f>41500*0.97</f>
        <v>40255</v>
      </c>
      <c r="E45" s="227" t="s">
        <v>230</v>
      </c>
    </row>
    <row r="46" spans="2:5" x14ac:dyDescent="0.25">
      <c r="B46" s="95" t="s">
        <v>229</v>
      </c>
      <c r="C46" s="17" t="s">
        <v>109</v>
      </c>
      <c r="D46" s="99">
        <f>52*0.97</f>
        <v>50.44</v>
      </c>
      <c r="E46" s="227" t="s">
        <v>230</v>
      </c>
    </row>
    <row r="51" spans="2:6" x14ac:dyDescent="0.25">
      <c r="B51" s="174"/>
      <c r="C51" s="174"/>
      <c r="D51" s="175"/>
      <c r="E51" s="174"/>
      <c r="F51" s="174"/>
    </row>
    <row r="52" spans="2:6" x14ac:dyDescent="0.25">
      <c r="B52" s="174"/>
      <c r="C52" s="176"/>
      <c r="D52" s="200"/>
      <c r="E52" s="174"/>
    </row>
    <row r="53" spans="2:6" x14ac:dyDescent="0.25">
      <c r="B53" s="174"/>
      <c r="C53" s="176"/>
      <c r="D53" s="200"/>
      <c r="E53" s="174"/>
      <c r="F53" s="174"/>
    </row>
  </sheetData>
  <phoneticPr fontId="23" type="noConversion"/>
  <pageMargins left="0.7" right="0.7" top="0.75" bottom="0.75" header="0.3" footer="0.3"/>
  <pageSetup paperSize="3" scale="99" fitToHeight="0"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62DF8-80D7-483D-8BAA-3B7E2449D644}">
  <sheetPr>
    <pageSetUpPr fitToPage="1"/>
  </sheetPr>
  <dimension ref="A1:AX9"/>
  <sheetViews>
    <sheetView workbookViewId="0">
      <selection activeCell="B19" sqref="B19"/>
    </sheetView>
  </sheetViews>
  <sheetFormatPr defaultRowHeight="12.75" x14ac:dyDescent="0.2"/>
  <cols>
    <col min="1" max="1" width="9.42578125" style="105" customWidth="1"/>
    <col min="2" max="2" width="83.140625" style="105" customWidth="1"/>
    <col min="3" max="3" width="31.28515625" style="105" customWidth="1"/>
    <col min="4" max="4" width="35.42578125" style="105" customWidth="1"/>
    <col min="5" max="5" width="86.42578125" style="105" customWidth="1"/>
    <col min="6" max="6" width="6" style="105" customWidth="1"/>
    <col min="7" max="7" width="6.28515625" style="105" customWidth="1"/>
    <col min="8" max="8" width="18.7109375" style="105" customWidth="1"/>
    <col min="9" max="9" width="46.7109375" style="105" customWidth="1"/>
    <col min="10" max="10" width="17.85546875" style="105" customWidth="1"/>
    <col min="11" max="11" width="19.42578125" style="105" customWidth="1"/>
    <col min="12" max="12" width="19.85546875" style="105" customWidth="1"/>
    <col min="13" max="13" width="22.7109375" style="105" customWidth="1"/>
    <col min="14" max="14" width="23.7109375" style="105" customWidth="1"/>
    <col min="15" max="15" width="48.7109375" style="105" customWidth="1"/>
    <col min="16" max="16" width="37.5703125" style="105" customWidth="1"/>
    <col min="17" max="17" width="40.28515625" style="105" customWidth="1"/>
    <col min="18" max="18" width="37.85546875" style="105" customWidth="1"/>
    <col min="19" max="19" width="40.5703125" style="105" customWidth="1"/>
    <col min="20" max="20" width="58.7109375" style="105" customWidth="1"/>
    <col min="21" max="21" width="28.85546875" style="105" customWidth="1"/>
    <col min="22" max="22" width="14.85546875" style="105" customWidth="1"/>
    <col min="23" max="23" width="42.85546875" style="105" customWidth="1"/>
    <col min="24" max="24" width="35.5703125" style="105" customWidth="1"/>
    <col min="25" max="25" width="33.140625" style="105" customWidth="1"/>
    <col min="26" max="26" width="23.140625" style="105" customWidth="1"/>
    <col min="27" max="27" width="31.42578125" style="105" customWidth="1"/>
    <col min="28" max="28" width="29.42578125" style="105" customWidth="1"/>
    <col min="29" max="29" width="22.42578125" style="105" customWidth="1"/>
    <col min="30" max="30" width="20.28515625" style="105" customWidth="1"/>
    <col min="31" max="31" width="24" style="105" customWidth="1"/>
    <col min="32" max="32" width="33.5703125" style="105" customWidth="1"/>
    <col min="33" max="33" width="50" style="105" customWidth="1"/>
    <col min="34" max="34" width="50.5703125" style="105" customWidth="1"/>
    <col min="35" max="35" width="49.140625" style="105" customWidth="1"/>
    <col min="36" max="36" width="58.5703125" style="105" customWidth="1"/>
    <col min="37" max="37" width="59" style="105" customWidth="1"/>
    <col min="38" max="38" width="57.5703125" style="105" customWidth="1"/>
    <col min="39" max="39" width="58.7109375" style="105" customWidth="1"/>
    <col min="40" max="40" width="59.140625" style="105" customWidth="1"/>
    <col min="41" max="41" width="57.7109375" style="105" customWidth="1"/>
    <col min="42" max="42" width="20.5703125" style="105" customWidth="1"/>
    <col min="43" max="43" width="20.85546875" style="105" customWidth="1"/>
    <col min="44" max="44" width="26.5703125" style="105" customWidth="1"/>
    <col min="45" max="45" width="24" style="105" customWidth="1"/>
    <col min="46" max="46" width="22" style="105" customWidth="1"/>
    <col min="47" max="47" width="22.140625" style="105" customWidth="1"/>
    <col min="48" max="48" width="27.85546875" style="105" customWidth="1"/>
    <col min="49" max="49" width="40.5703125" style="105" customWidth="1"/>
    <col min="50" max="50" width="147.5703125" style="105" customWidth="1"/>
    <col min="51" max="256" width="9.140625" style="105"/>
    <col min="257" max="257" width="9.42578125" style="105" customWidth="1"/>
    <col min="258" max="258" width="83.140625" style="105" customWidth="1"/>
    <col min="259" max="259" width="31.28515625" style="105" customWidth="1"/>
    <col min="260" max="260" width="35.42578125" style="105" customWidth="1"/>
    <col min="261" max="261" width="86.42578125" style="105" customWidth="1"/>
    <col min="262" max="262" width="6" style="105" customWidth="1"/>
    <col min="263" max="263" width="6.28515625" style="105" customWidth="1"/>
    <col min="264" max="264" width="18.7109375" style="105" customWidth="1"/>
    <col min="265" max="265" width="46.7109375" style="105" customWidth="1"/>
    <col min="266" max="266" width="17.85546875" style="105" customWidth="1"/>
    <col min="267" max="267" width="19.42578125" style="105" customWidth="1"/>
    <col min="268" max="268" width="19.85546875" style="105" customWidth="1"/>
    <col min="269" max="269" width="22.7109375" style="105" customWidth="1"/>
    <col min="270" max="270" width="23.7109375" style="105" customWidth="1"/>
    <col min="271" max="271" width="48.7109375" style="105" customWidth="1"/>
    <col min="272" max="272" width="37.5703125" style="105" customWidth="1"/>
    <col min="273" max="273" width="40.28515625" style="105" customWidth="1"/>
    <col min="274" max="274" width="37.85546875" style="105" customWidth="1"/>
    <col min="275" max="275" width="40.5703125" style="105" customWidth="1"/>
    <col min="276" max="276" width="58.7109375" style="105" customWidth="1"/>
    <col min="277" max="277" width="28.85546875" style="105" customWidth="1"/>
    <col min="278" max="278" width="14.85546875" style="105" customWidth="1"/>
    <col min="279" max="279" width="42.85546875" style="105" customWidth="1"/>
    <col min="280" max="280" width="35.5703125" style="105" customWidth="1"/>
    <col min="281" max="281" width="33.140625" style="105" customWidth="1"/>
    <col min="282" max="282" width="23.140625" style="105" customWidth="1"/>
    <col min="283" max="283" width="31.42578125" style="105" customWidth="1"/>
    <col min="284" max="284" width="29.42578125" style="105" customWidth="1"/>
    <col min="285" max="285" width="22.42578125" style="105" customWidth="1"/>
    <col min="286" max="286" width="20.28515625" style="105" customWidth="1"/>
    <col min="287" max="287" width="24" style="105" customWidth="1"/>
    <col min="288" max="288" width="33.5703125" style="105" customWidth="1"/>
    <col min="289" max="289" width="50" style="105" customWidth="1"/>
    <col min="290" max="290" width="50.5703125" style="105" customWidth="1"/>
    <col min="291" max="291" width="49.140625" style="105" customWidth="1"/>
    <col min="292" max="292" width="58.5703125" style="105" customWidth="1"/>
    <col min="293" max="293" width="59" style="105" customWidth="1"/>
    <col min="294" max="294" width="57.5703125" style="105" customWidth="1"/>
    <col min="295" max="295" width="58.7109375" style="105" customWidth="1"/>
    <col min="296" max="296" width="59.140625" style="105" customWidth="1"/>
    <col min="297" max="297" width="57.7109375" style="105" customWidth="1"/>
    <col min="298" max="298" width="20.5703125" style="105" customWidth="1"/>
    <col min="299" max="299" width="20.85546875" style="105" customWidth="1"/>
    <col min="300" max="300" width="26.5703125" style="105" customWidth="1"/>
    <col min="301" max="301" width="24" style="105" customWidth="1"/>
    <col min="302" max="302" width="22" style="105" customWidth="1"/>
    <col min="303" max="303" width="22.140625" style="105" customWidth="1"/>
    <col min="304" max="304" width="27.85546875" style="105" customWidth="1"/>
    <col min="305" max="305" width="40.5703125" style="105" customWidth="1"/>
    <col min="306" max="306" width="147.5703125" style="105" customWidth="1"/>
    <col min="307" max="512" width="9.140625" style="105"/>
    <col min="513" max="513" width="9.42578125" style="105" customWidth="1"/>
    <col min="514" max="514" width="83.140625" style="105" customWidth="1"/>
    <col min="515" max="515" width="31.28515625" style="105" customWidth="1"/>
    <col min="516" max="516" width="35.42578125" style="105" customWidth="1"/>
    <col min="517" max="517" width="86.42578125" style="105" customWidth="1"/>
    <col min="518" max="518" width="6" style="105" customWidth="1"/>
    <col min="519" max="519" width="6.28515625" style="105" customWidth="1"/>
    <col min="520" max="520" width="18.7109375" style="105" customWidth="1"/>
    <col min="521" max="521" width="46.7109375" style="105" customWidth="1"/>
    <col min="522" max="522" width="17.85546875" style="105" customWidth="1"/>
    <col min="523" max="523" width="19.42578125" style="105" customWidth="1"/>
    <col min="524" max="524" width="19.85546875" style="105" customWidth="1"/>
    <col min="525" max="525" width="22.7109375" style="105" customWidth="1"/>
    <col min="526" max="526" width="23.7109375" style="105" customWidth="1"/>
    <col min="527" max="527" width="48.7109375" style="105" customWidth="1"/>
    <col min="528" max="528" width="37.5703125" style="105" customWidth="1"/>
    <col min="529" max="529" width="40.28515625" style="105" customWidth="1"/>
    <col min="530" max="530" width="37.85546875" style="105" customWidth="1"/>
    <col min="531" max="531" width="40.5703125" style="105" customWidth="1"/>
    <col min="532" max="532" width="58.7109375" style="105" customWidth="1"/>
    <col min="533" max="533" width="28.85546875" style="105" customWidth="1"/>
    <col min="534" max="534" width="14.85546875" style="105" customWidth="1"/>
    <col min="535" max="535" width="42.85546875" style="105" customWidth="1"/>
    <col min="536" max="536" width="35.5703125" style="105" customWidth="1"/>
    <col min="537" max="537" width="33.140625" style="105" customWidth="1"/>
    <col min="538" max="538" width="23.140625" style="105" customWidth="1"/>
    <col min="539" max="539" width="31.42578125" style="105" customWidth="1"/>
    <col min="540" max="540" width="29.42578125" style="105" customWidth="1"/>
    <col min="541" max="541" width="22.42578125" style="105" customWidth="1"/>
    <col min="542" max="542" width="20.28515625" style="105" customWidth="1"/>
    <col min="543" max="543" width="24" style="105" customWidth="1"/>
    <col min="544" max="544" width="33.5703125" style="105" customWidth="1"/>
    <col min="545" max="545" width="50" style="105" customWidth="1"/>
    <col min="546" max="546" width="50.5703125" style="105" customWidth="1"/>
    <col min="547" max="547" width="49.140625" style="105" customWidth="1"/>
    <col min="548" max="548" width="58.5703125" style="105" customWidth="1"/>
    <col min="549" max="549" width="59" style="105" customWidth="1"/>
    <col min="550" max="550" width="57.5703125" style="105" customWidth="1"/>
    <col min="551" max="551" width="58.7109375" style="105" customWidth="1"/>
    <col min="552" max="552" width="59.140625" style="105" customWidth="1"/>
    <col min="553" max="553" width="57.7109375" style="105" customWidth="1"/>
    <col min="554" max="554" width="20.5703125" style="105" customWidth="1"/>
    <col min="555" max="555" width="20.85546875" style="105" customWidth="1"/>
    <col min="556" max="556" width="26.5703125" style="105" customWidth="1"/>
    <col min="557" max="557" width="24" style="105" customWidth="1"/>
    <col min="558" max="558" width="22" style="105" customWidth="1"/>
    <col min="559" max="559" width="22.140625" style="105" customWidth="1"/>
    <col min="560" max="560" width="27.85546875" style="105" customWidth="1"/>
    <col min="561" max="561" width="40.5703125" style="105" customWidth="1"/>
    <col min="562" max="562" width="147.5703125" style="105" customWidth="1"/>
    <col min="563" max="768" width="9.140625" style="105"/>
    <col min="769" max="769" width="9.42578125" style="105" customWidth="1"/>
    <col min="770" max="770" width="83.140625" style="105" customWidth="1"/>
    <col min="771" max="771" width="31.28515625" style="105" customWidth="1"/>
    <col min="772" max="772" width="35.42578125" style="105" customWidth="1"/>
    <col min="773" max="773" width="86.42578125" style="105" customWidth="1"/>
    <col min="774" max="774" width="6" style="105" customWidth="1"/>
    <col min="775" max="775" width="6.28515625" style="105" customWidth="1"/>
    <col min="776" max="776" width="18.7109375" style="105" customWidth="1"/>
    <col min="777" max="777" width="46.7109375" style="105" customWidth="1"/>
    <col min="778" max="778" width="17.85546875" style="105" customWidth="1"/>
    <col min="779" max="779" width="19.42578125" style="105" customWidth="1"/>
    <col min="780" max="780" width="19.85546875" style="105" customWidth="1"/>
    <col min="781" max="781" width="22.7109375" style="105" customWidth="1"/>
    <col min="782" max="782" width="23.7109375" style="105" customWidth="1"/>
    <col min="783" max="783" width="48.7109375" style="105" customWidth="1"/>
    <col min="784" max="784" width="37.5703125" style="105" customWidth="1"/>
    <col min="785" max="785" width="40.28515625" style="105" customWidth="1"/>
    <col min="786" max="786" width="37.85546875" style="105" customWidth="1"/>
    <col min="787" max="787" width="40.5703125" style="105" customWidth="1"/>
    <col min="788" max="788" width="58.7109375" style="105" customWidth="1"/>
    <col min="789" max="789" width="28.85546875" style="105" customWidth="1"/>
    <col min="790" max="790" width="14.85546875" style="105" customWidth="1"/>
    <col min="791" max="791" width="42.85546875" style="105" customWidth="1"/>
    <col min="792" max="792" width="35.5703125" style="105" customWidth="1"/>
    <col min="793" max="793" width="33.140625" style="105" customWidth="1"/>
    <col min="794" max="794" width="23.140625" style="105" customWidth="1"/>
    <col min="795" max="795" width="31.42578125" style="105" customWidth="1"/>
    <col min="796" max="796" width="29.42578125" style="105" customWidth="1"/>
    <col min="797" max="797" width="22.42578125" style="105" customWidth="1"/>
    <col min="798" max="798" width="20.28515625" style="105" customWidth="1"/>
    <col min="799" max="799" width="24" style="105" customWidth="1"/>
    <col min="800" max="800" width="33.5703125" style="105" customWidth="1"/>
    <col min="801" max="801" width="50" style="105" customWidth="1"/>
    <col min="802" max="802" width="50.5703125" style="105" customWidth="1"/>
    <col min="803" max="803" width="49.140625" style="105" customWidth="1"/>
    <col min="804" max="804" width="58.5703125" style="105" customWidth="1"/>
    <col min="805" max="805" width="59" style="105" customWidth="1"/>
    <col min="806" max="806" width="57.5703125" style="105" customWidth="1"/>
    <col min="807" max="807" width="58.7109375" style="105" customWidth="1"/>
    <col min="808" max="808" width="59.140625" style="105" customWidth="1"/>
    <col min="809" max="809" width="57.7109375" style="105" customWidth="1"/>
    <col min="810" max="810" width="20.5703125" style="105" customWidth="1"/>
    <col min="811" max="811" width="20.85546875" style="105" customWidth="1"/>
    <col min="812" max="812" width="26.5703125" style="105" customWidth="1"/>
    <col min="813" max="813" width="24" style="105" customWidth="1"/>
    <col min="814" max="814" width="22" style="105" customWidth="1"/>
    <col min="815" max="815" width="22.140625" style="105" customWidth="1"/>
    <col min="816" max="816" width="27.85546875" style="105" customWidth="1"/>
    <col min="817" max="817" width="40.5703125" style="105" customWidth="1"/>
    <col min="818" max="818" width="147.5703125" style="105" customWidth="1"/>
    <col min="819" max="1024" width="9.140625" style="105"/>
    <col min="1025" max="1025" width="9.42578125" style="105" customWidth="1"/>
    <col min="1026" max="1026" width="83.140625" style="105" customWidth="1"/>
    <col min="1027" max="1027" width="31.28515625" style="105" customWidth="1"/>
    <col min="1028" max="1028" width="35.42578125" style="105" customWidth="1"/>
    <col min="1029" max="1029" width="86.42578125" style="105" customWidth="1"/>
    <col min="1030" max="1030" width="6" style="105" customWidth="1"/>
    <col min="1031" max="1031" width="6.28515625" style="105" customWidth="1"/>
    <col min="1032" max="1032" width="18.7109375" style="105" customWidth="1"/>
    <col min="1033" max="1033" width="46.7109375" style="105" customWidth="1"/>
    <col min="1034" max="1034" width="17.85546875" style="105" customWidth="1"/>
    <col min="1035" max="1035" width="19.42578125" style="105" customWidth="1"/>
    <col min="1036" max="1036" width="19.85546875" style="105" customWidth="1"/>
    <col min="1037" max="1037" width="22.7109375" style="105" customWidth="1"/>
    <col min="1038" max="1038" width="23.7109375" style="105" customWidth="1"/>
    <col min="1039" max="1039" width="48.7109375" style="105" customWidth="1"/>
    <col min="1040" max="1040" width="37.5703125" style="105" customWidth="1"/>
    <col min="1041" max="1041" width="40.28515625" style="105" customWidth="1"/>
    <col min="1042" max="1042" width="37.85546875" style="105" customWidth="1"/>
    <col min="1043" max="1043" width="40.5703125" style="105" customWidth="1"/>
    <col min="1044" max="1044" width="58.7109375" style="105" customWidth="1"/>
    <col min="1045" max="1045" width="28.85546875" style="105" customWidth="1"/>
    <col min="1046" max="1046" width="14.85546875" style="105" customWidth="1"/>
    <col min="1047" max="1047" width="42.85546875" style="105" customWidth="1"/>
    <col min="1048" max="1048" width="35.5703125" style="105" customWidth="1"/>
    <col min="1049" max="1049" width="33.140625" style="105" customWidth="1"/>
    <col min="1050" max="1050" width="23.140625" style="105" customWidth="1"/>
    <col min="1051" max="1051" width="31.42578125" style="105" customWidth="1"/>
    <col min="1052" max="1052" width="29.42578125" style="105" customWidth="1"/>
    <col min="1053" max="1053" width="22.42578125" style="105" customWidth="1"/>
    <col min="1054" max="1054" width="20.28515625" style="105" customWidth="1"/>
    <col min="1055" max="1055" width="24" style="105" customWidth="1"/>
    <col min="1056" max="1056" width="33.5703125" style="105" customWidth="1"/>
    <col min="1057" max="1057" width="50" style="105" customWidth="1"/>
    <col min="1058" max="1058" width="50.5703125" style="105" customWidth="1"/>
    <col min="1059" max="1059" width="49.140625" style="105" customWidth="1"/>
    <col min="1060" max="1060" width="58.5703125" style="105" customWidth="1"/>
    <col min="1061" max="1061" width="59" style="105" customWidth="1"/>
    <col min="1062" max="1062" width="57.5703125" style="105" customWidth="1"/>
    <col min="1063" max="1063" width="58.7109375" style="105" customWidth="1"/>
    <col min="1064" max="1064" width="59.140625" style="105" customWidth="1"/>
    <col min="1065" max="1065" width="57.7109375" style="105" customWidth="1"/>
    <col min="1066" max="1066" width="20.5703125" style="105" customWidth="1"/>
    <col min="1067" max="1067" width="20.85546875" style="105" customWidth="1"/>
    <col min="1068" max="1068" width="26.5703125" style="105" customWidth="1"/>
    <col min="1069" max="1069" width="24" style="105" customWidth="1"/>
    <col min="1070" max="1070" width="22" style="105" customWidth="1"/>
    <col min="1071" max="1071" width="22.140625" style="105" customWidth="1"/>
    <col min="1072" max="1072" width="27.85546875" style="105" customWidth="1"/>
    <col min="1073" max="1073" width="40.5703125" style="105" customWidth="1"/>
    <col min="1074" max="1074" width="147.5703125" style="105" customWidth="1"/>
    <col min="1075" max="1280" width="9.140625" style="105"/>
    <col min="1281" max="1281" width="9.42578125" style="105" customWidth="1"/>
    <col min="1282" max="1282" width="83.140625" style="105" customWidth="1"/>
    <col min="1283" max="1283" width="31.28515625" style="105" customWidth="1"/>
    <col min="1284" max="1284" width="35.42578125" style="105" customWidth="1"/>
    <col min="1285" max="1285" width="86.42578125" style="105" customWidth="1"/>
    <col min="1286" max="1286" width="6" style="105" customWidth="1"/>
    <col min="1287" max="1287" width="6.28515625" style="105" customWidth="1"/>
    <col min="1288" max="1288" width="18.7109375" style="105" customWidth="1"/>
    <col min="1289" max="1289" width="46.7109375" style="105" customWidth="1"/>
    <col min="1290" max="1290" width="17.85546875" style="105" customWidth="1"/>
    <col min="1291" max="1291" width="19.42578125" style="105" customWidth="1"/>
    <col min="1292" max="1292" width="19.85546875" style="105" customWidth="1"/>
    <col min="1293" max="1293" width="22.7109375" style="105" customWidth="1"/>
    <col min="1294" max="1294" width="23.7109375" style="105" customWidth="1"/>
    <col min="1295" max="1295" width="48.7109375" style="105" customWidth="1"/>
    <col min="1296" max="1296" width="37.5703125" style="105" customWidth="1"/>
    <col min="1297" max="1297" width="40.28515625" style="105" customWidth="1"/>
    <col min="1298" max="1298" width="37.85546875" style="105" customWidth="1"/>
    <col min="1299" max="1299" width="40.5703125" style="105" customWidth="1"/>
    <col min="1300" max="1300" width="58.7109375" style="105" customWidth="1"/>
    <col min="1301" max="1301" width="28.85546875" style="105" customWidth="1"/>
    <col min="1302" max="1302" width="14.85546875" style="105" customWidth="1"/>
    <col min="1303" max="1303" width="42.85546875" style="105" customWidth="1"/>
    <col min="1304" max="1304" width="35.5703125" style="105" customWidth="1"/>
    <col min="1305" max="1305" width="33.140625" style="105" customWidth="1"/>
    <col min="1306" max="1306" width="23.140625" style="105" customWidth="1"/>
    <col min="1307" max="1307" width="31.42578125" style="105" customWidth="1"/>
    <col min="1308" max="1308" width="29.42578125" style="105" customWidth="1"/>
    <col min="1309" max="1309" width="22.42578125" style="105" customWidth="1"/>
    <col min="1310" max="1310" width="20.28515625" style="105" customWidth="1"/>
    <col min="1311" max="1311" width="24" style="105" customWidth="1"/>
    <col min="1312" max="1312" width="33.5703125" style="105" customWidth="1"/>
    <col min="1313" max="1313" width="50" style="105" customWidth="1"/>
    <col min="1314" max="1314" width="50.5703125" style="105" customWidth="1"/>
    <col min="1315" max="1315" width="49.140625" style="105" customWidth="1"/>
    <col min="1316" max="1316" width="58.5703125" style="105" customWidth="1"/>
    <col min="1317" max="1317" width="59" style="105" customWidth="1"/>
    <col min="1318" max="1318" width="57.5703125" style="105" customWidth="1"/>
    <col min="1319" max="1319" width="58.7109375" style="105" customWidth="1"/>
    <col min="1320" max="1320" width="59.140625" style="105" customWidth="1"/>
    <col min="1321" max="1321" width="57.7109375" style="105" customWidth="1"/>
    <col min="1322" max="1322" width="20.5703125" style="105" customWidth="1"/>
    <col min="1323" max="1323" width="20.85546875" style="105" customWidth="1"/>
    <col min="1324" max="1324" width="26.5703125" style="105" customWidth="1"/>
    <col min="1325" max="1325" width="24" style="105" customWidth="1"/>
    <col min="1326" max="1326" width="22" style="105" customWidth="1"/>
    <col min="1327" max="1327" width="22.140625" style="105" customWidth="1"/>
    <col min="1328" max="1328" width="27.85546875" style="105" customWidth="1"/>
    <col min="1329" max="1329" width="40.5703125" style="105" customWidth="1"/>
    <col min="1330" max="1330" width="147.5703125" style="105" customWidth="1"/>
    <col min="1331" max="1536" width="9.140625" style="105"/>
    <col min="1537" max="1537" width="9.42578125" style="105" customWidth="1"/>
    <col min="1538" max="1538" width="83.140625" style="105" customWidth="1"/>
    <col min="1539" max="1539" width="31.28515625" style="105" customWidth="1"/>
    <col min="1540" max="1540" width="35.42578125" style="105" customWidth="1"/>
    <col min="1541" max="1541" width="86.42578125" style="105" customWidth="1"/>
    <col min="1542" max="1542" width="6" style="105" customWidth="1"/>
    <col min="1543" max="1543" width="6.28515625" style="105" customWidth="1"/>
    <col min="1544" max="1544" width="18.7109375" style="105" customWidth="1"/>
    <col min="1545" max="1545" width="46.7109375" style="105" customWidth="1"/>
    <col min="1546" max="1546" width="17.85546875" style="105" customWidth="1"/>
    <col min="1547" max="1547" width="19.42578125" style="105" customWidth="1"/>
    <col min="1548" max="1548" width="19.85546875" style="105" customWidth="1"/>
    <col min="1549" max="1549" width="22.7109375" style="105" customWidth="1"/>
    <col min="1550" max="1550" width="23.7109375" style="105" customWidth="1"/>
    <col min="1551" max="1551" width="48.7109375" style="105" customWidth="1"/>
    <col min="1552" max="1552" width="37.5703125" style="105" customWidth="1"/>
    <col min="1553" max="1553" width="40.28515625" style="105" customWidth="1"/>
    <col min="1554" max="1554" width="37.85546875" style="105" customWidth="1"/>
    <col min="1555" max="1555" width="40.5703125" style="105" customWidth="1"/>
    <col min="1556" max="1556" width="58.7109375" style="105" customWidth="1"/>
    <col min="1557" max="1557" width="28.85546875" style="105" customWidth="1"/>
    <col min="1558" max="1558" width="14.85546875" style="105" customWidth="1"/>
    <col min="1559" max="1559" width="42.85546875" style="105" customWidth="1"/>
    <col min="1560" max="1560" width="35.5703125" style="105" customWidth="1"/>
    <col min="1561" max="1561" width="33.140625" style="105" customWidth="1"/>
    <col min="1562" max="1562" width="23.140625" style="105" customWidth="1"/>
    <col min="1563" max="1563" width="31.42578125" style="105" customWidth="1"/>
    <col min="1564" max="1564" width="29.42578125" style="105" customWidth="1"/>
    <col min="1565" max="1565" width="22.42578125" style="105" customWidth="1"/>
    <col min="1566" max="1566" width="20.28515625" style="105" customWidth="1"/>
    <col min="1567" max="1567" width="24" style="105" customWidth="1"/>
    <col min="1568" max="1568" width="33.5703125" style="105" customWidth="1"/>
    <col min="1569" max="1569" width="50" style="105" customWidth="1"/>
    <col min="1570" max="1570" width="50.5703125" style="105" customWidth="1"/>
    <col min="1571" max="1571" width="49.140625" style="105" customWidth="1"/>
    <col min="1572" max="1572" width="58.5703125" style="105" customWidth="1"/>
    <col min="1573" max="1573" width="59" style="105" customWidth="1"/>
    <col min="1574" max="1574" width="57.5703125" style="105" customWidth="1"/>
    <col min="1575" max="1575" width="58.7109375" style="105" customWidth="1"/>
    <col min="1576" max="1576" width="59.140625" style="105" customWidth="1"/>
    <col min="1577" max="1577" width="57.7109375" style="105" customWidth="1"/>
    <col min="1578" max="1578" width="20.5703125" style="105" customWidth="1"/>
    <col min="1579" max="1579" width="20.85546875" style="105" customWidth="1"/>
    <col min="1580" max="1580" width="26.5703125" style="105" customWidth="1"/>
    <col min="1581" max="1581" width="24" style="105" customWidth="1"/>
    <col min="1582" max="1582" width="22" style="105" customWidth="1"/>
    <col min="1583" max="1583" width="22.140625" style="105" customWidth="1"/>
    <col min="1584" max="1584" width="27.85546875" style="105" customWidth="1"/>
    <col min="1585" max="1585" width="40.5703125" style="105" customWidth="1"/>
    <col min="1586" max="1586" width="147.5703125" style="105" customWidth="1"/>
    <col min="1587" max="1792" width="9.140625" style="105"/>
    <col min="1793" max="1793" width="9.42578125" style="105" customWidth="1"/>
    <col min="1794" max="1794" width="83.140625" style="105" customWidth="1"/>
    <col min="1795" max="1795" width="31.28515625" style="105" customWidth="1"/>
    <col min="1796" max="1796" width="35.42578125" style="105" customWidth="1"/>
    <col min="1797" max="1797" width="86.42578125" style="105" customWidth="1"/>
    <col min="1798" max="1798" width="6" style="105" customWidth="1"/>
    <col min="1799" max="1799" width="6.28515625" style="105" customWidth="1"/>
    <col min="1800" max="1800" width="18.7109375" style="105" customWidth="1"/>
    <col min="1801" max="1801" width="46.7109375" style="105" customWidth="1"/>
    <col min="1802" max="1802" width="17.85546875" style="105" customWidth="1"/>
    <col min="1803" max="1803" width="19.42578125" style="105" customWidth="1"/>
    <col min="1804" max="1804" width="19.85546875" style="105" customWidth="1"/>
    <col min="1805" max="1805" width="22.7109375" style="105" customWidth="1"/>
    <col min="1806" max="1806" width="23.7109375" style="105" customWidth="1"/>
    <col min="1807" max="1807" width="48.7109375" style="105" customWidth="1"/>
    <col min="1808" max="1808" width="37.5703125" style="105" customWidth="1"/>
    <col min="1809" max="1809" width="40.28515625" style="105" customWidth="1"/>
    <col min="1810" max="1810" width="37.85546875" style="105" customWidth="1"/>
    <col min="1811" max="1811" width="40.5703125" style="105" customWidth="1"/>
    <col min="1812" max="1812" width="58.7109375" style="105" customWidth="1"/>
    <col min="1813" max="1813" width="28.85546875" style="105" customWidth="1"/>
    <col min="1814" max="1814" width="14.85546875" style="105" customWidth="1"/>
    <col min="1815" max="1815" width="42.85546875" style="105" customWidth="1"/>
    <col min="1816" max="1816" width="35.5703125" style="105" customWidth="1"/>
    <col min="1817" max="1817" width="33.140625" style="105" customWidth="1"/>
    <col min="1818" max="1818" width="23.140625" style="105" customWidth="1"/>
    <col min="1819" max="1819" width="31.42578125" style="105" customWidth="1"/>
    <col min="1820" max="1820" width="29.42578125" style="105" customWidth="1"/>
    <col min="1821" max="1821" width="22.42578125" style="105" customWidth="1"/>
    <col min="1822" max="1822" width="20.28515625" style="105" customWidth="1"/>
    <col min="1823" max="1823" width="24" style="105" customWidth="1"/>
    <col min="1824" max="1824" width="33.5703125" style="105" customWidth="1"/>
    <col min="1825" max="1825" width="50" style="105" customWidth="1"/>
    <col min="1826" max="1826" width="50.5703125" style="105" customWidth="1"/>
    <col min="1827" max="1827" width="49.140625" style="105" customWidth="1"/>
    <col min="1828" max="1828" width="58.5703125" style="105" customWidth="1"/>
    <col min="1829" max="1829" width="59" style="105" customWidth="1"/>
    <col min="1830" max="1830" width="57.5703125" style="105" customWidth="1"/>
    <col min="1831" max="1831" width="58.7109375" style="105" customWidth="1"/>
    <col min="1832" max="1832" width="59.140625" style="105" customWidth="1"/>
    <col min="1833" max="1833" width="57.7109375" style="105" customWidth="1"/>
    <col min="1834" max="1834" width="20.5703125" style="105" customWidth="1"/>
    <col min="1835" max="1835" width="20.85546875" style="105" customWidth="1"/>
    <col min="1836" max="1836" width="26.5703125" style="105" customWidth="1"/>
    <col min="1837" max="1837" width="24" style="105" customWidth="1"/>
    <col min="1838" max="1838" width="22" style="105" customWidth="1"/>
    <col min="1839" max="1839" width="22.140625" style="105" customWidth="1"/>
    <col min="1840" max="1840" width="27.85546875" style="105" customWidth="1"/>
    <col min="1841" max="1841" width="40.5703125" style="105" customWidth="1"/>
    <col min="1842" max="1842" width="147.5703125" style="105" customWidth="1"/>
    <col min="1843" max="2048" width="9.140625" style="105"/>
    <col min="2049" max="2049" width="9.42578125" style="105" customWidth="1"/>
    <col min="2050" max="2050" width="83.140625" style="105" customWidth="1"/>
    <col min="2051" max="2051" width="31.28515625" style="105" customWidth="1"/>
    <col min="2052" max="2052" width="35.42578125" style="105" customWidth="1"/>
    <col min="2053" max="2053" width="86.42578125" style="105" customWidth="1"/>
    <col min="2054" max="2054" width="6" style="105" customWidth="1"/>
    <col min="2055" max="2055" width="6.28515625" style="105" customWidth="1"/>
    <col min="2056" max="2056" width="18.7109375" style="105" customWidth="1"/>
    <col min="2057" max="2057" width="46.7109375" style="105" customWidth="1"/>
    <col min="2058" max="2058" width="17.85546875" style="105" customWidth="1"/>
    <col min="2059" max="2059" width="19.42578125" style="105" customWidth="1"/>
    <col min="2060" max="2060" width="19.85546875" style="105" customWidth="1"/>
    <col min="2061" max="2061" width="22.7109375" style="105" customWidth="1"/>
    <col min="2062" max="2062" width="23.7109375" style="105" customWidth="1"/>
    <col min="2063" max="2063" width="48.7109375" style="105" customWidth="1"/>
    <col min="2064" max="2064" width="37.5703125" style="105" customWidth="1"/>
    <col min="2065" max="2065" width="40.28515625" style="105" customWidth="1"/>
    <col min="2066" max="2066" width="37.85546875" style="105" customWidth="1"/>
    <col min="2067" max="2067" width="40.5703125" style="105" customWidth="1"/>
    <col min="2068" max="2068" width="58.7109375" style="105" customWidth="1"/>
    <col min="2069" max="2069" width="28.85546875" style="105" customWidth="1"/>
    <col min="2070" max="2070" width="14.85546875" style="105" customWidth="1"/>
    <col min="2071" max="2071" width="42.85546875" style="105" customWidth="1"/>
    <col min="2072" max="2072" width="35.5703125" style="105" customWidth="1"/>
    <col min="2073" max="2073" width="33.140625" style="105" customWidth="1"/>
    <col min="2074" max="2074" width="23.140625" style="105" customWidth="1"/>
    <col min="2075" max="2075" width="31.42578125" style="105" customWidth="1"/>
    <col min="2076" max="2076" width="29.42578125" style="105" customWidth="1"/>
    <col min="2077" max="2077" width="22.42578125" style="105" customWidth="1"/>
    <col min="2078" max="2078" width="20.28515625" style="105" customWidth="1"/>
    <col min="2079" max="2079" width="24" style="105" customWidth="1"/>
    <col min="2080" max="2080" width="33.5703125" style="105" customWidth="1"/>
    <col min="2081" max="2081" width="50" style="105" customWidth="1"/>
    <col min="2082" max="2082" width="50.5703125" style="105" customWidth="1"/>
    <col min="2083" max="2083" width="49.140625" style="105" customWidth="1"/>
    <col min="2084" max="2084" width="58.5703125" style="105" customWidth="1"/>
    <col min="2085" max="2085" width="59" style="105" customWidth="1"/>
    <col min="2086" max="2086" width="57.5703125" style="105" customWidth="1"/>
    <col min="2087" max="2087" width="58.7109375" style="105" customWidth="1"/>
    <col min="2088" max="2088" width="59.140625" style="105" customWidth="1"/>
    <col min="2089" max="2089" width="57.7109375" style="105" customWidth="1"/>
    <col min="2090" max="2090" width="20.5703125" style="105" customWidth="1"/>
    <col min="2091" max="2091" width="20.85546875" style="105" customWidth="1"/>
    <col min="2092" max="2092" width="26.5703125" style="105" customWidth="1"/>
    <col min="2093" max="2093" width="24" style="105" customWidth="1"/>
    <col min="2094" max="2094" width="22" style="105" customWidth="1"/>
    <col min="2095" max="2095" width="22.140625" style="105" customWidth="1"/>
    <col min="2096" max="2096" width="27.85546875" style="105" customWidth="1"/>
    <col min="2097" max="2097" width="40.5703125" style="105" customWidth="1"/>
    <col min="2098" max="2098" width="147.5703125" style="105" customWidth="1"/>
    <col min="2099" max="2304" width="9.140625" style="105"/>
    <col min="2305" max="2305" width="9.42578125" style="105" customWidth="1"/>
    <col min="2306" max="2306" width="83.140625" style="105" customWidth="1"/>
    <col min="2307" max="2307" width="31.28515625" style="105" customWidth="1"/>
    <col min="2308" max="2308" width="35.42578125" style="105" customWidth="1"/>
    <col min="2309" max="2309" width="86.42578125" style="105" customWidth="1"/>
    <col min="2310" max="2310" width="6" style="105" customWidth="1"/>
    <col min="2311" max="2311" width="6.28515625" style="105" customWidth="1"/>
    <col min="2312" max="2312" width="18.7109375" style="105" customWidth="1"/>
    <col min="2313" max="2313" width="46.7109375" style="105" customWidth="1"/>
    <col min="2314" max="2314" width="17.85546875" style="105" customWidth="1"/>
    <col min="2315" max="2315" width="19.42578125" style="105" customWidth="1"/>
    <col min="2316" max="2316" width="19.85546875" style="105" customWidth="1"/>
    <col min="2317" max="2317" width="22.7109375" style="105" customWidth="1"/>
    <col min="2318" max="2318" width="23.7109375" style="105" customWidth="1"/>
    <col min="2319" max="2319" width="48.7109375" style="105" customWidth="1"/>
    <col min="2320" max="2320" width="37.5703125" style="105" customWidth="1"/>
    <col min="2321" max="2321" width="40.28515625" style="105" customWidth="1"/>
    <col min="2322" max="2322" width="37.85546875" style="105" customWidth="1"/>
    <col min="2323" max="2323" width="40.5703125" style="105" customWidth="1"/>
    <col min="2324" max="2324" width="58.7109375" style="105" customWidth="1"/>
    <col min="2325" max="2325" width="28.85546875" style="105" customWidth="1"/>
    <col min="2326" max="2326" width="14.85546875" style="105" customWidth="1"/>
    <col min="2327" max="2327" width="42.85546875" style="105" customWidth="1"/>
    <col min="2328" max="2328" width="35.5703125" style="105" customWidth="1"/>
    <col min="2329" max="2329" width="33.140625" style="105" customWidth="1"/>
    <col min="2330" max="2330" width="23.140625" style="105" customWidth="1"/>
    <col min="2331" max="2331" width="31.42578125" style="105" customWidth="1"/>
    <col min="2332" max="2332" width="29.42578125" style="105" customWidth="1"/>
    <col min="2333" max="2333" width="22.42578125" style="105" customWidth="1"/>
    <col min="2334" max="2334" width="20.28515625" style="105" customWidth="1"/>
    <col min="2335" max="2335" width="24" style="105" customWidth="1"/>
    <col min="2336" max="2336" width="33.5703125" style="105" customWidth="1"/>
    <col min="2337" max="2337" width="50" style="105" customWidth="1"/>
    <col min="2338" max="2338" width="50.5703125" style="105" customWidth="1"/>
    <col min="2339" max="2339" width="49.140625" style="105" customWidth="1"/>
    <col min="2340" max="2340" width="58.5703125" style="105" customWidth="1"/>
    <col min="2341" max="2341" width="59" style="105" customWidth="1"/>
    <col min="2342" max="2342" width="57.5703125" style="105" customWidth="1"/>
    <col min="2343" max="2343" width="58.7109375" style="105" customWidth="1"/>
    <col min="2344" max="2344" width="59.140625" style="105" customWidth="1"/>
    <col min="2345" max="2345" width="57.7109375" style="105" customWidth="1"/>
    <col min="2346" max="2346" width="20.5703125" style="105" customWidth="1"/>
    <col min="2347" max="2347" width="20.85546875" style="105" customWidth="1"/>
    <col min="2348" max="2348" width="26.5703125" style="105" customWidth="1"/>
    <col min="2349" max="2349" width="24" style="105" customWidth="1"/>
    <col min="2350" max="2350" width="22" style="105" customWidth="1"/>
    <col min="2351" max="2351" width="22.140625" style="105" customWidth="1"/>
    <col min="2352" max="2352" width="27.85546875" style="105" customWidth="1"/>
    <col min="2353" max="2353" width="40.5703125" style="105" customWidth="1"/>
    <col min="2354" max="2354" width="147.5703125" style="105" customWidth="1"/>
    <col min="2355" max="2560" width="9.140625" style="105"/>
    <col min="2561" max="2561" width="9.42578125" style="105" customWidth="1"/>
    <col min="2562" max="2562" width="83.140625" style="105" customWidth="1"/>
    <col min="2563" max="2563" width="31.28515625" style="105" customWidth="1"/>
    <col min="2564" max="2564" width="35.42578125" style="105" customWidth="1"/>
    <col min="2565" max="2565" width="86.42578125" style="105" customWidth="1"/>
    <col min="2566" max="2566" width="6" style="105" customWidth="1"/>
    <col min="2567" max="2567" width="6.28515625" style="105" customWidth="1"/>
    <col min="2568" max="2568" width="18.7109375" style="105" customWidth="1"/>
    <col min="2569" max="2569" width="46.7109375" style="105" customWidth="1"/>
    <col min="2570" max="2570" width="17.85546875" style="105" customWidth="1"/>
    <col min="2571" max="2571" width="19.42578125" style="105" customWidth="1"/>
    <col min="2572" max="2572" width="19.85546875" style="105" customWidth="1"/>
    <col min="2573" max="2573" width="22.7109375" style="105" customWidth="1"/>
    <col min="2574" max="2574" width="23.7109375" style="105" customWidth="1"/>
    <col min="2575" max="2575" width="48.7109375" style="105" customWidth="1"/>
    <col min="2576" max="2576" width="37.5703125" style="105" customWidth="1"/>
    <col min="2577" max="2577" width="40.28515625" style="105" customWidth="1"/>
    <col min="2578" max="2578" width="37.85546875" style="105" customWidth="1"/>
    <col min="2579" max="2579" width="40.5703125" style="105" customWidth="1"/>
    <col min="2580" max="2580" width="58.7109375" style="105" customWidth="1"/>
    <col min="2581" max="2581" width="28.85546875" style="105" customWidth="1"/>
    <col min="2582" max="2582" width="14.85546875" style="105" customWidth="1"/>
    <col min="2583" max="2583" width="42.85546875" style="105" customWidth="1"/>
    <col min="2584" max="2584" width="35.5703125" style="105" customWidth="1"/>
    <col min="2585" max="2585" width="33.140625" style="105" customWidth="1"/>
    <col min="2586" max="2586" width="23.140625" style="105" customWidth="1"/>
    <col min="2587" max="2587" width="31.42578125" style="105" customWidth="1"/>
    <col min="2588" max="2588" width="29.42578125" style="105" customWidth="1"/>
    <col min="2589" max="2589" width="22.42578125" style="105" customWidth="1"/>
    <col min="2590" max="2590" width="20.28515625" style="105" customWidth="1"/>
    <col min="2591" max="2591" width="24" style="105" customWidth="1"/>
    <col min="2592" max="2592" width="33.5703125" style="105" customWidth="1"/>
    <col min="2593" max="2593" width="50" style="105" customWidth="1"/>
    <col min="2594" max="2594" width="50.5703125" style="105" customWidth="1"/>
    <col min="2595" max="2595" width="49.140625" style="105" customWidth="1"/>
    <col min="2596" max="2596" width="58.5703125" style="105" customWidth="1"/>
    <col min="2597" max="2597" width="59" style="105" customWidth="1"/>
    <col min="2598" max="2598" width="57.5703125" style="105" customWidth="1"/>
    <col min="2599" max="2599" width="58.7109375" style="105" customWidth="1"/>
    <col min="2600" max="2600" width="59.140625" style="105" customWidth="1"/>
    <col min="2601" max="2601" width="57.7109375" style="105" customWidth="1"/>
    <col min="2602" max="2602" width="20.5703125" style="105" customWidth="1"/>
    <col min="2603" max="2603" width="20.85546875" style="105" customWidth="1"/>
    <col min="2604" max="2604" width="26.5703125" style="105" customWidth="1"/>
    <col min="2605" max="2605" width="24" style="105" customWidth="1"/>
    <col min="2606" max="2606" width="22" style="105" customWidth="1"/>
    <col min="2607" max="2607" width="22.140625" style="105" customWidth="1"/>
    <col min="2608" max="2608" width="27.85546875" style="105" customWidth="1"/>
    <col min="2609" max="2609" width="40.5703125" style="105" customWidth="1"/>
    <col min="2610" max="2610" width="147.5703125" style="105" customWidth="1"/>
    <col min="2611" max="2816" width="9.140625" style="105"/>
    <col min="2817" max="2817" width="9.42578125" style="105" customWidth="1"/>
    <col min="2818" max="2818" width="83.140625" style="105" customWidth="1"/>
    <col min="2819" max="2819" width="31.28515625" style="105" customWidth="1"/>
    <col min="2820" max="2820" width="35.42578125" style="105" customWidth="1"/>
    <col min="2821" max="2821" width="86.42578125" style="105" customWidth="1"/>
    <col min="2822" max="2822" width="6" style="105" customWidth="1"/>
    <col min="2823" max="2823" width="6.28515625" style="105" customWidth="1"/>
    <col min="2824" max="2824" width="18.7109375" style="105" customWidth="1"/>
    <col min="2825" max="2825" width="46.7109375" style="105" customWidth="1"/>
    <col min="2826" max="2826" width="17.85546875" style="105" customWidth="1"/>
    <col min="2827" max="2827" width="19.42578125" style="105" customWidth="1"/>
    <col min="2828" max="2828" width="19.85546875" style="105" customWidth="1"/>
    <col min="2829" max="2829" width="22.7109375" style="105" customWidth="1"/>
    <col min="2830" max="2830" width="23.7109375" style="105" customWidth="1"/>
    <col min="2831" max="2831" width="48.7109375" style="105" customWidth="1"/>
    <col min="2832" max="2832" width="37.5703125" style="105" customWidth="1"/>
    <col min="2833" max="2833" width="40.28515625" style="105" customWidth="1"/>
    <col min="2834" max="2834" width="37.85546875" style="105" customWidth="1"/>
    <col min="2835" max="2835" width="40.5703125" style="105" customWidth="1"/>
    <col min="2836" max="2836" width="58.7109375" style="105" customWidth="1"/>
    <col min="2837" max="2837" width="28.85546875" style="105" customWidth="1"/>
    <col min="2838" max="2838" width="14.85546875" style="105" customWidth="1"/>
    <col min="2839" max="2839" width="42.85546875" style="105" customWidth="1"/>
    <col min="2840" max="2840" width="35.5703125" style="105" customWidth="1"/>
    <col min="2841" max="2841" width="33.140625" style="105" customWidth="1"/>
    <col min="2842" max="2842" width="23.140625" style="105" customWidth="1"/>
    <col min="2843" max="2843" width="31.42578125" style="105" customWidth="1"/>
    <col min="2844" max="2844" width="29.42578125" style="105" customWidth="1"/>
    <col min="2845" max="2845" width="22.42578125" style="105" customWidth="1"/>
    <col min="2846" max="2846" width="20.28515625" style="105" customWidth="1"/>
    <col min="2847" max="2847" width="24" style="105" customWidth="1"/>
    <col min="2848" max="2848" width="33.5703125" style="105" customWidth="1"/>
    <col min="2849" max="2849" width="50" style="105" customWidth="1"/>
    <col min="2850" max="2850" width="50.5703125" style="105" customWidth="1"/>
    <col min="2851" max="2851" width="49.140625" style="105" customWidth="1"/>
    <col min="2852" max="2852" width="58.5703125" style="105" customWidth="1"/>
    <col min="2853" max="2853" width="59" style="105" customWidth="1"/>
    <col min="2854" max="2854" width="57.5703125" style="105" customWidth="1"/>
    <col min="2855" max="2855" width="58.7109375" style="105" customWidth="1"/>
    <col min="2856" max="2856" width="59.140625" style="105" customWidth="1"/>
    <col min="2857" max="2857" width="57.7109375" style="105" customWidth="1"/>
    <col min="2858" max="2858" width="20.5703125" style="105" customWidth="1"/>
    <col min="2859" max="2859" width="20.85546875" style="105" customWidth="1"/>
    <col min="2860" max="2860" width="26.5703125" style="105" customWidth="1"/>
    <col min="2861" max="2861" width="24" style="105" customWidth="1"/>
    <col min="2862" max="2862" width="22" style="105" customWidth="1"/>
    <col min="2863" max="2863" width="22.140625" style="105" customWidth="1"/>
    <col min="2864" max="2864" width="27.85546875" style="105" customWidth="1"/>
    <col min="2865" max="2865" width="40.5703125" style="105" customWidth="1"/>
    <col min="2866" max="2866" width="147.5703125" style="105" customWidth="1"/>
    <col min="2867" max="3072" width="9.140625" style="105"/>
    <col min="3073" max="3073" width="9.42578125" style="105" customWidth="1"/>
    <col min="3074" max="3074" width="83.140625" style="105" customWidth="1"/>
    <col min="3075" max="3075" width="31.28515625" style="105" customWidth="1"/>
    <col min="3076" max="3076" width="35.42578125" style="105" customWidth="1"/>
    <col min="3077" max="3077" width="86.42578125" style="105" customWidth="1"/>
    <col min="3078" max="3078" width="6" style="105" customWidth="1"/>
    <col min="3079" max="3079" width="6.28515625" style="105" customWidth="1"/>
    <col min="3080" max="3080" width="18.7109375" style="105" customWidth="1"/>
    <col min="3081" max="3081" width="46.7109375" style="105" customWidth="1"/>
    <col min="3082" max="3082" width="17.85546875" style="105" customWidth="1"/>
    <col min="3083" max="3083" width="19.42578125" style="105" customWidth="1"/>
    <col min="3084" max="3084" width="19.85546875" style="105" customWidth="1"/>
    <col min="3085" max="3085" width="22.7109375" style="105" customWidth="1"/>
    <col min="3086" max="3086" width="23.7109375" style="105" customWidth="1"/>
    <col min="3087" max="3087" width="48.7109375" style="105" customWidth="1"/>
    <col min="3088" max="3088" width="37.5703125" style="105" customWidth="1"/>
    <col min="3089" max="3089" width="40.28515625" style="105" customWidth="1"/>
    <col min="3090" max="3090" width="37.85546875" style="105" customWidth="1"/>
    <col min="3091" max="3091" width="40.5703125" style="105" customWidth="1"/>
    <col min="3092" max="3092" width="58.7109375" style="105" customWidth="1"/>
    <col min="3093" max="3093" width="28.85546875" style="105" customWidth="1"/>
    <col min="3094" max="3094" width="14.85546875" style="105" customWidth="1"/>
    <col min="3095" max="3095" width="42.85546875" style="105" customWidth="1"/>
    <col min="3096" max="3096" width="35.5703125" style="105" customWidth="1"/>
    <col min="3097" max="3097" width="33.140625" style="105" customWidth="1"/>
    <col min="3098" max="3098" width="23.140625" style="105" customWidth="1"/>
    <col min="3099" max="3099" width="31.42578125" style="105" customWidth="1"/>
    <col min="3100" max="3100" width="29.42578125" style="105" customWidth="1"/>
    <col min="3101" max="3101" width="22.42578125" style="105" customWidth="1"/>
    <col min="3102" max="3102" width="20.28515625" style="105" customWidth="1"/>
    <col min="3103" max="3103" width="24" style="105" customWidth="1"/>
    <col min="3104" max="3104" width="33.5703125" style="105" customWidth="1"/>
    <col min="3105" max="3105" width="50" style="105" customWidth="1"/>
    <col min="3106" max="3106" width="50.5703125" style="105" customWidth="1"/>
    <col min="3107" max="3107" width="49.140625" style="105" customWidth="1"/>
    <col min="3108" max="3108" width="58.5703125" style="105" customWidth="1"/>
    <col min="3109" max="3109" width="59" style="105" customWidth="1"/>
    <col min="3110" max="3110" width="57.5703125" style="105" customWidth="1"/>
    <col min="3111" max="3111" width="58.7109375" style="105" customWidth="1"/>
    <col min="3112" max="3112" width="59.140625" style="105" customWidth="1"/>
    <col min="3113" max="3113" width="57.7109375" style="105" customWidth="1"/>
    <col min="3114" max="3114" width="20.5703125" style="105" customWidth="1"/>
    <col min="3115" max="3115" width="20.85546875" style="105" customWidth="1"/>
    <col min="3116" max="3116" width="26.5703125" style="105" customWidth="1"/>
    <col min="3117" max="3117" width="24" style="105" customWidth="1"/>
    <col min="3118" max="3118" width="22" style="105" customWidth="1"/>
    <col min="3119" max="3119" width="22.140625" style="105" customWidth="1"/>
    <col min="3120" max="3120" width="27.85546875" style="105" customWidth="1"/>
    <col min="3121" max="3121" width="40.5703125" style="105" customWidth="1"/>
    <col min="3122" max="3122" width="147.5703125" style="105" customWidth="1"/>
    <col min="3123" max="3328" width="9.140625" style="105"/>
    <col min="3329" max="3329" width="9.42578125" style="105" customWidth="1"/>
    <col min="3330" max="3330" width="83.140625" style="105" customWidth="1"/>
    <col min="3331" max="3331" width="31.28515625" style="105" customWidth="1"/>
    <col min="3332" max="3332" width="35.42578125" style="105" customWidth="1"/>
    <col min="3333" max="3333" width="86.42578125" style="105" customWidth="1"/>
    <col min="3334" max="3334" width="6" style="105" customWidth="1"/>
    <col min="3335" max="3335" width="6.28515625" style="105" customWidth="1"/>
    <col min="3336" max="3336" width="18.7109375" style="105" customWidth="1"/>
    <col min="3337" max="3337" width="46.7109375" style="105" customWidth="1"/>
    <col min="3338" max="3338" width="17.85546875" style="105" customWidth="1"/>
    <col min="3339" max="3339" width="19.42578125" style="105" customWidth="1"/>
    <col min="3340" max="3340" width="19.85546875" style="105" customWidth="1"/>
    <col min="3341" max="3341" width="22.7109375" style="105" customWidth="1"/>
    <col min="3342" max="3342" width="23.7109375" style="105" customWidth="1"/>
    <col min="3343" max="3343" width="48.7109375" style="105" customWidth="1"/>
    <col min="3344" max="3344" width="37.5703125" style="105" customWidth="1"/>
    <col min="3345" max="3345" width="40.28515625" style="105" customWidth="1"/>
    <col min="3346" max="3346" width="37.85546875" style="105" customWidth="1"/>
    <col min="3347" max="3347" width="40.5703125" style="105" customWidth="1"/>
    <col min="3348" max="3348" width="58.7109375" style="105" customWidth="1"/>
    <col min="3349" max="3349" width="28.85546875" style="105" customWidth="1"/>
    <col min="3350" max="3350" width="14.85546875" style="105" customWidth="1"/>
    <col min="3351" max="3351" width="42.85546875" style="105" customWidth="1"/>
    <col min="3352" max="3352" width="35.5703125" style="105" customWidth="1"/>
    <col min="3353" max="3353" width="33.140625" style="105" customWidth="1"/>
    <col min="3354" max="3354" width="23.140625" style="105" customWidth="1"/>
    <col min="3355" max="3355" width="31.42578125" style="105" customWidth="1"/>
    <col min="3356" max="3356" width="29.42578125" style="105" customWidth="1"/>
    <col min="3357" max="3357" width="22.42578125" style="105" customWidth="1"/>
    <col min="3358" max="3358" width="20.28515625" style="105" customWidth="1"/>
    <col min="3359" max="3359" width="24" style="105" customWidth="1"/>
    <col min="3360" max="3360" width="33.5703125" style="105" customWidth="1"/>
    <col min="3361" max="3361" width="50" style="105" customWidth="1"/>
    <col min="3362" max="3362" width="50.5703125" style="105" customWidth="1"/>
    <col min="3363" max="3363" width="49.140625" style="105" customWidth="1"/>
    <col min="3364" max="3364" width="58.5703125" style="105" customWidth="1"/>
    <col min="3365" max="3365" width="59" style="105" customWidth="1"/>
    <col min="3366" max="3366" width="57.5703125" style="105" customWidth="1"/>
    <col min="3367" max="3367" width="58.7109375" style="105" customWidth="1"/>
    <col min="3368" max="3368" width="59.140625" style="105" customWidth="1"/>
    <col min="3369" max="3369" width="57.7109375" style="105" customWidth="1"/>
    <col min="3370" max="3370" width="20.5703125" style="105" customWidth="1"/>
    <col min="3371" max="3371" width="20.85546875" style="105" customWidth="1"/>
    <col min="3372" max="3372" width="26.5703125" style="105" customWidth="1"/>
    <col min="3373" max="3373" width="24" style="105" customWidth="1"/>
    <col min="3374" max="3374" width="22" style="105" customWidth="1"/>
    <col min="3375" max="3375" width="22.140625" style="105" customWidth="1"/>
    <col min="3376" max="3376" width="27.85546875" style="105" customWidth="1"/>
    <col min="3377" max="3377" width="40.5703125" style="105" customWidth="1"/>
    <col min="3378" max="3378" width="147.5703125" style="105" customWidth="1"/>
    <col min="3379" max="3584" width="9.140625" style="105"/>
    <col min="3585" max="3585" width="9.42578125" style="105" customWidth="1"/>
    <col min="3586" max="3586" width="83.140625" style="105" customWidth="1"/>
    <col min="3587" max="3587" width="31.28515625" style="105" customWidth="1"/>
    <col min="3588" max="3588" width="35.42578125" style="105" customWidth="1"/>
    <col min="3589" max="3589" width="86.42578125" style="105" customWidth="1"/>
    <col min="3590" max="3590" width="6" style="105" customWidth="1"/>
    <col min="3591" max="3591" width="6.28515625" style="105" customWidth="1"/>
    <col min="3592" max="3592" width="18.7109375" style="105" customWidth="1"/>
    <col min="3593" max="3593" width="46.7109375" style="105" customWidth="1"/>
    <col min="3594" max="3594" width="17.85546875" style="105" customWidth="1"/>
    <col min="3595" max="3595" width="19.42578125" style="105" customWidth="1"/>
    <col min="3596" max="3596" width="19.85546875" style="105" customWidth="1"/>
    <col min="3597" max="3597" width="22.7109375" style="105" customWidth="1"/>
    <col min="3598" max="3598" width="23.7109375" style="105" customWidth="1"/>
    <col min="3599" max="3599" width="48.7109375" style="105" customWidth="1"/>
    <col min="3600" max="3600" width="37.5703125" style="105" customWidth="1"/>
    <col min="3601" max="3601" width="40.28515625" style="105" customWidth="1"/>
    <col min="3602" max="3602" width="37.85546875" style="105" customWidth="1"/>
    <col min="3603" max="3603" width="40.5703125" style="105" customWidth="1"/>
    <col min="3604" max="3604" width="58.7109375" style="105" customWidth="1"/>
    <col min="3605" max="3605" width="28.85546875" style="105" customWidth="1"/>
    <col min="3606" max="3606" width="14.85546875" style="105" customWidth="1"/>
    <col min="3607" max="3607" width="42.85546875" style="105" customWidth="1"/>
    <col min="3608" max="3608" width="35.5703125" style="105" customWidth="1"/>
    <col min="3609" max="3609" width="33.140625" style="105" customWidth="1"/>
    <col min="3610" max="3610" width="23.140625" style="105" customWidth="1"/>
    <col min="3611" max="3611" width="31.42578125" style="105" customWidth="1"/>
    <col min="3612" max="3612" width="29.42578125" style="105" customWidth="1"/>
    <col min="3613" max="3613" width="22.42578125" style="105" customWidth="1"/>
    <col min="3614" max="3614" width="20.28515625" style="105" customWidth="1"/>
    <col min="3615" max="3615" width="24" style="105" customWidth="1"/>
    <col min="3616" max="3616" width="33.5703125" style="105" customWidth="1"/>
    <col min="3617" max="3617" width="50" style="105" customWidth="1"/>
    <col min="3618" max="3618" width="50.5703125" style="105" customWidth="1"/>
    <col min="3619" max="3619" width="49.140625" style="105" customWidth="1"/>
    <col min="3620" max="3620" width="58.5703125" style="105" customWidth="1"/>
    <col min="3621" max="3621" width="59" style="105" customWidth="1"/>
    <col min="3622" max="3622" width="57.5703125" style="105" customWidth="1"/>
    <col min="3623" max="3623" width="58.7109375" style="105" customWidth="1"/>
    <col min="3624" max="3624" width="59.140625" style="105" customWidth="1"/>
    <col min="3625" max="3625" width="57.7109375" style="105" customWidth="1"/>
    <col min="3626" max="3626" width="20.5703125" style="105" customWidth="1"/>
    <col min="3627" max="3627" width="20.85546875" style="105" customWidth="1"/>
    <col min="3628" max="3628" width="26.5703125" style="105" customWidth="1"/>
    <col min="3629" max="3629" width="24" style="105" customWidth="1"/>
    <col min="3630" max="3630" width="22" style="105" customWidth="1"/>
    <col min="3631" max="3631" width="22.140625" style="105" customWidth="1"/>
    <col min="3632" max="3632" width="27.85546875" style="105" customWidth="1"/>
    <col min="3633" max="3633" width="40.5703125" style="105" customWidth="1"/>
    <col min="3634" max="3634" width="147.5703125" style="105" customWidth="1"/>
    <col min="3635" max="3840" width="9.140625" style="105"/>
    <col min="3841" max="3841" width="9.42578125" style="105" customWidth="1"/>
    <col min="3842" max="3842" width="83.140625" style="105" customWidth="1"/>
    <col min="3843" max="3843" width="31.28515625" style="105" customWidth="1"/>
    <col min="3844" max="3844" width="35.42578125" style="105" customWidth="1"/>
    <col min="3845" max="3845" width="86.42578125" style="105" customWidth="1"/>
    <col min="3846" max="3846" width="6" style="105" customWidth="1"/>
    <col min="3847" max="3847" width="6.28515625" style="105" customWidth="1"/>
    <col min="3848" max="3848" width="18.7109375" style="105" customWidth="1"/>
    <col min="3849" max="3849" width="46.7109375" style="105" customWidth="1"/>
    <col min="3850" max="3850" width="17.85546875" style="105" customWidth="1"/>
    <col min="3851" max="3851" width="19.42578125" style="105" customWidth="1"/>
    <col min="3852" max="3852" width="19.85546875" style="105" customWidth="1"/>
    <col min="3853" max="3853" width="22.7109375" style="105" customWidth="1"/>
    <col min="3854" max="3854" width="23.7109375" style="105" customWidth="1"/>
    <col min="3855" max="3855" width="48.7109375" style="105" customWidth="1"/>
    <col min="3856" max="3856" width="37.5703125" style="105" customWidth="1"/>
    <col min="3857" max="3857" width="40.28515625" style="105" customWidth="1"/>
    <col min="3858" max="3858" width="37.85546875" style="105" customWidth="1"/>
    <col min="3859" max="3859" width="40.5703125" style="105" customWidth="1"/>
    <col min="3860" max="3860" width="58.7109375" style="105" customWidth="1"/>
    <col min="3861" max="3861" width="28.85546875" style="105" customWidth="1"/>
    <col min="3862" max="3862" width="14.85546875" style="105" customWidth="1"/>
    <col min="3863" max="3863" width="42.85546875" style="105" customWidth="1"/>
    <col min="3864" max="3864" width="35.5703125" style="105" customWidth="1"/>
    <col min="3865" max="3865" width="33.140625" style="105" customWidth="1"/>
    <col min="3866" max="3866" width="23.140625" style="105" customWidth="1"/>
    <col min="3867" max="3867" width="31.42578125" style="105" customWidth="1"/>
    <col min="3868" max="3868" width="29.42578125" style="105" customWidth="1"/>
    <col min="3869" max="3869" width="22.42578125" style="105" customWidth="1"/>
    <col min="3870" max="3870" width="20.28515625" style="105" customWidth="1"/>
    <col min="3871" max="3871" width="24" style="105" customWidth="1"/>
    <col min="3872" max="3872" width="33.5703125" style="105" customWidth="1"/>
    <col min="3873" max="3873" width="50" style="105" customWidth="1"/>
    <col min="3874" max="3874" width="50.5703125" style="105" customWidth="1"/>
    <col min="3875" max="3875" width="49.140625" style="105" customWidth="1"/>
    <col min="3876" max="3876" width="58.5703125" style="105" customWidth="1"/>
    <col min="3877" max="3877" width="59" style="105" customWidth="1"/>
    <col min="3878" max="3878" width="57.5703125" style="105" customWidth="1"/>
    <col min="3879" max="3879" width="58.7109375" style="105" customWidth="1"/>
    <col min="3880" max="3880" width="59.140625" style="105" customWidth="1"/>
    <col min="3881" max="3881" width="57.7109375" style="105" customWidth="1"/>
    <col min="3882" max="3882" width="20.5703125" style="105" customWidth="1"/>
    <col min="3883" max="3883" width="20.85546875" style="105" customWidth="1"/>
    <col min="3884" max="3884" width="26.5703125" style="105" customWidth="1"/>
    <col min="3885" max="3885" width="24" style="105" customWidth="1"/>
    <col min="3886" max="3886" width="22" style="105" customWidth="1"/>
    <col min="3887" max="3887" width="22.140625" style="105" customWidth="1"/>
    <col min="3888" max="3888" width="27.85546875" style="105" customWidth="1"/>
    <col min="3889" max="3889" width="40.5703125" style="105" customWidth="1"/>
    <col min="3890" max="3890" width="147.5703125" style="105" customWidth="1"/>
    <col min="3891" max="4096" width="9.140625" style="105"/>
    <col min="4097" max="4097" width="9.42578125" style="105" customWidth="1"/>
    <col min="4098" max="4098" width="83.140625" style="105" customWidth="1"/>
    <col min="4099" max="4099" width="31.28515625" style="105" customWidth="1"/>
    <col min="4100" max="4100" width="35.42578125" style="105" customWidth="1"/>
    <col min="4101" max="4101" width="86.42578125" style="105" customWidth="1"/>
    <col min="4102" max="4102" width="6" style="105" customWidth="1"/>
    <col min="4103" max="4103" width="6.28515625" style="105" customWidth="1"/>
    <col min="4104" max="4104" width="18.7109375" style="105" customWidth="1"/>
    <col min="4105" max="4105" width="46.7109375" style="105" customWidth="1"/>
    <col min="4106" max="4106" width="17.85546875" style="105" customWidth="1"/>
    <col min="4107" max="4107" width="19.42578125" style="105" customWidth="1"/>
    <col min="4108" max="4108" width="19.85546875" style="105" customWidth="1"/>
    <col min="4109" max="4109" width="22.7109375" style="105" customWidth="1"/>
    <col min="4110" max="4110" width="23.7109375" style="105" customWidth="1"/>
    <col min="4111" max="4111" width="48.7109375" style="105" customWidth="1"/>
    <col min="4112" max="4112" width="37.5703125" style="105" customWidth="1"/>
    <col min="4113" max="4113" width="40.28515625" style="105" customWidth="1"/>
    <col min="4114" max="4114" width="37.85546875" style="105" customWidth="1"/>
    <col min="4115" max="4115" width="40.5703125" style="105" customWidth="1"/>
    <col min="4116" max="4116" width="58.7109375" style="105" customWidth="1"/>
    <col min="4117" max="4117" width="28.85546875" style="105" customWidth="1"/>
    <col min="4118" max="4118" width="14.85546875" style="105" customWidth="1"/>
    <col min="4119" max="4119" width="42.85546875" style="105" customWidth="1"/>
    <col min="4120" max="4120" width="35.5703125" style="105" customWidth="1"/>
    <col min="4121" max="4121" width="33.140625" style="105" customWidth="1"/>
    <col min="4122" max="4122" width="23.140625" style="105" customWidth="1"/>
    <col min="4123" max="4123" width="31.42578125" style="105" customWidth="1"/>
    <col min="4124" max="4124" width="29.42578125" style="105" customWidth="1"/>
    <col min="4125" max="4125" width="22.42578125" style="105" customWidth="1"/>
    <col min="4126" max="4126" width="20.28515625" style="105" customWidth="1"/>
    <col min="4127" max="4127" width="24" style="105" customWidth="1"/>
    <col min="4128" max="4128" width="33.5703125" style="105" customWidth="1"/>
    <col min="4129" max="4129" width="50" style="105" customWidth="1"/>
    <col min="4130" max="4130" width="50.5703125" style="105" customWidth="1"/>
    <col min="4131" max="4131" width="49.140625" style="105" customWidth="1"/>
    <col min="4132" max="4132" width="58.5703125" style="105" customWidth="1"/>
    <col min="4133" max="4133" width="59" style="105" customWidth="1"/>
    <col min="4134" max="4134" width="57.5703125" style="105" customWidth="1"/>
    <col min="4135" max="4135" width="58.7109375" style="105" customWidth="1"/>
    <col min="4136" max="4136" width="59.140625" style="105" customWidth="1"/>
    <col min="4137" max="4137" width="57.7109375" style="105" customWidth="1"/>
    <col min="4138" max="4138" width="20.5703125" style="105" customWidth="1"/>
    <col min="4139" max="4139" width="20.85546875" style="105" customWidth="1"/>
    <col min="4140" max="4140" width="26.5703125" style="105" customWidth="1"/>
    <col min="4141" max="4141" width="24" style="105" customWidth="1"/>
    <col min="4142" max="4142" width="22" style="105" customWidth="1"/>
    <col min="4143" max="4143" width="22.140625" style="105" customWidth="1"/>
    <col min="4144" max="4144" width="27.85546875" style="105" customWidth="1"/>
    <col min="4145" max="4145" width="40.5703125" style="105" customWidth="1"/>
    <col min="4146" max="4146" width="147.5703125" style="105" customWidth="1"/>
    <col min="4147" max="4352" width="9.140625" style="105"/>
    <col min="4353" max="4353" width="9.42578125" style="105" customWidth="1"/>
    <col min="4354" max="4354" width="83.140625" style="105" customWidth="1"/>
    <col min="4355" max="4355" width="31.28515625" style="105" customWidth="1"/>
    <col min="4356" max="4356" width="35.42578125" style="105" customWidth="1"/>
    <col min="4357" max="4357" width="86.42578125" style="105" customWidth="1"/>
    <col min="4358" max="4358" width="6" style="105" customWidth="1"/>
    <col min="4359" max="4359" width="6.28515625" style="105" customWidth="1"/>
    <col min="4360" max="4360" width="18.7109375" style="105" customWidth="1"/>
    <col min="4361" max="4361" width="46.7109375" style="105" customWidth="1"/>
    <col min="4362" max="4362" width="17.85546875" style="105" customWidth="1"/>
    <col min="4363" max="4363" width="19.42578125" style="105" customWidth="1"/>
    <col min="4364" max="4364" width="19.85546875" style="105" customWidth="1"/>
    <col min="4365" max="4365" width="22.7109375" style="105" customWidth="1"/>
    <col min="4366" max="4366" width="23.7109375" style="105" customWidth="1"/>
    <col min="4367" max="4367" width="48.7109375" style="105" customWidth="1"/>
    <col min="4368" max="4368" width="37.5703125" style="105" customWidth="1"/>
    <col min="4369" max="4369" width="40.28515625" style="105" customWidth="1"/>
    <col min="4370" max="4370" width="37.85546875" style="105" customWidth="1"/>
    <col min="4371" max="4371" width="40.5703125" style="105" customWidth="1"/>
    <col min="4372" max="4372" width="58.7109375" style="105" customWidth="1"/>
    <col min="4373" max="4373" width="28.85546875" style="105" customWidth="1"/>
    <col min="4374" max="4374" width="14.85546875" style="105" customWidth="1"/>
    <col min="4375" max="4375" width="42.85546875" style="105" customWidth="1"/>
    <col min="4376" max="4376" width="35.5703125" style="105" customWidth="1"/>
    <col min="4377" max="4377" width="33.140625" style="105" customWidth="1"/>
    <col min="4378" max="4378" width="23.140625" style="105" customWidth="1"/>
    <col min="4379" max="4379" width="31.42578125" style="105" customWidth="1"/>
    <col min="4380" max="4380" width="29.42578125" style="105" customWidth="1"/>
    <col min="4381" max="4381" width="22.42578125" style="105" customWidth="1"/>
    <col min="4382" max="4382" width="20.28515625" style="105" customWidth="1"/>
    <col min="4383" max="4383" width="24" style="105" customWidth="1"/>
    <col min="4384" max="4384" width="33.5703125" style="105" customWidth="1"/>
    <col min="4385" max="4385" width="50" style="105" customWidth="1"/>
    <col min="4386" max="4386" width="50.5703125" style="105" customWidth="1"/>
    <col min="4387" max="4387" width="49.140625" style="105" customWidth="1"/>
    <col min="4388" max="4388" width="58.5703125" style="105" customWidth="1"/>
    <col min="4389" max="4389" width="59" style="105" customWidth="1"/>
    <col min="4390" max="4390" width="57.5703125" style="105" customWidth="1"/>
    <col min="4391" max="4391" width="58.7109375" style="105" customWidth="1"/>
    <col min="4392" max="4392" width="59.140625" style="105" customWidth="1"/>
    <col min="4393" max="4393" width="57.7109375" style="105" customWidth="1"/>
    <col min="4394" max="4394" width="20.5703125" style="105" customWidth="1"/>
    <col min="4395" max="4395" width="20.85546875" style="105" customWidth="1"/>
    <col min="4396" max="4396" width="26.5703125" style="105" customWidth="1"/>
    <col min="4397" max="4397" width="24" style="105" customWidth="1"/>
    <col min="4398" max="4398" width="22" style="105" customWidth="1"/>
    <col min="4399" max="4399" width="22.140625" style="105" customWidth="1"/>
    <col min="4400" max="4400" width="27.85546875" style="105" customWidth="1"/>
    <col min="4401" max="4401" width="40.5703125" style="105" customWidth="1"/>
    <col min="4402" max="4402" width="147.5703125" style="105" customWidth="1"/>
    <col min="4403" max="4608" width="9.140625" style="105"/>
    <col min="4609" max="4609" width="9.42578125" style="105" customWidth="1"/>
    <col min="4610" max="4610" width="83.140625" style="105" customWidth="1"/>
    <col min="4611" max="4611" width="31.28515625" style="105" customWidth="1"/>
    <col min="4612" max="4612" width="35.42578125" style="105" customWidth="1"/>
    <col min="4613" max="4613" width="86.42578125" style="105" customWidth="1"/>
    <col min="4614" max="4614" width="6" style="105" customWidth="1"/>
    <col min="4615" max="4615" width="6.28515625" style="105" customWidth="1"/>
    <col min="4616" max="4616" width="18.7109375" style="105" customWidth="1"/>
    <col min="4617" max="4617" width="46.7109375" style="105" customWidth="1"/>
    <col min="4618" max="4618" width="17.85546875" style="105" customWidth="1"/>
    <col min="4619" max="4619" width="19.42578125" style="105" customWidth="1"/>
    <col min="4620" max="4620" width="19.85546875" style="105" customWidth="1"/>
    <col min="4621" max="4621" width="22.7109375" style="105" customWidth="1"/>
    <col min="4622" max="4622" width="23.7109375" style="105" customWidth="1"/>
    <col min="4623" max="4623" width="48.7109375" style="105" customWidth="1"/>
    <col min="4624" max="4624" width="37.5703125" style="105" customWidth="1"/>
    <col min="4625" max="4625" width="40.28515625" style="105" customWidth="1"/>
    <col min="4626" max="4626" width="37.85546875" style="105" customWidth="1"/>
    <col min="4627" max="4627" width="40.5703125" style="105" customWidth="1"/>
    <col min="4628" max="4628" width="58.7109375" style="105" customWidth="1"/>
    <col min="4629" max="4629" width="28.85546875" style="105" customWidth="1"/>
    <col min="4630" max="4630" width="14.85546875" style="105" customWidth="1"/>
    <col min="4631" max="4631" width="42.85546875" style="105" customWidth="1"/>
    <col min="4632" max="4632" width="35.5703125" style="105" customWidth="1"/>
    <col min="4633" max="4633" width="33.140625" style="105" customWidth="1"/>
    <col min="4634" max="4634" width="23.140625" style="105" customWidth="1"/>
    <col min="4635" max="4635" width="31.42578125" style="105" customWidth="1"/>
    <col min="4636" max="4636" width="29.42578125" style="105" customWidth="1"/>
    <col min="4637" max="4637" width="22.42578125" style="105" customWidth="1"/>
    <col min="4638" max="4638" width="20.28515625" style="105" customWidth="1"/>
    <col min="4639" max="4639" width="24" style="105" customWidth="1"/>
    <col min="4640" max="4640" width="33.5703125" style="105" customWidth="1"/>
    <col min="4641" max="4641" width="50" style="105" customWidth="1"/>
    <col min="4642" max="4642" width="50.5703125" style="105" customWidth="1"/>
    <col min="4643" max="4643" width="49.140625" style="105" customWidth="1"/>
    <col min="4644" max="4644" width="58.5703125" style="105" customWidth="1"/>
    <col min="4645" max="4645" width="59" style="105" customWidth="1"/>
    <col min="4646" max="4646" width="57.5703125" style="105" customWidth="1"/>
    <col min="4647" max="4647" width="58.7109375" style="105" customWidth="1"/>
    <col min="4648" max="4648" width="59.140625" style="105" customWidth="1"/>
    <col min="4649" max="4649" width="57.7109375" style="105" customWidth="1"/>
    <col min="4650" max="4650" width="20.5703125" style="105" customWidth="1"/>
    <col min="4651" max="4651" width="20.85546875" style="105" customWidth="1"/>
    <col min="4652" max="4652" width="26.5703125" style="105" customWidth="1"/>
    <col min="4653" max="4653" width="24" style="105" customWidth="1"/>
    <col min="4654" max="4654" width="22" style="105" customWidth="1"/>
    <col min="4655" max="4655" width="22.140625" style="105" customWidth="1"/>
    <col min="4656" max="4656" width="27.85546875" style="105" customWidth="1"/>
    <col min="4657" max="4657" width="40.5703125" style="105" customWidth="1"/>
    <col min="4658" max="4658" width="147.5703125" style="105" customWidth="1"/>
    <col min="4659" max="4864" width="9.140625" style="105"/>
    <col min="4865" max="4865" width="9.42578125" style="105" customWidth="1"/>
    <col min="4866" max="4866" width="83.140625" style="105" customWidth="1"/>
    <col min="4867" max="4867" width="31.28515625" style="105" customWidth="1"/>
    <col min="4868" max="4868" width="35.42578125" style="105" customWidth="1"/>
    <col min="4869" max="4869" width="86.42578125" style="105" customWidth="1"/>
    <col min="4870" max="4870" width="6" style="105" customWidth="1"/>
    <col min="4871" max="4871" width="6.28515625" style="105" customWidth="1"/>
    <col min="4872" max="4872" width="18.7109375" style="105" customWidth="1"/>
    <col min="4873" max="4873" width="46.7109375" style="105" customWidth="1"/>
    <col min="4874" max="4874" width="17.85546875" style="105" customWidth="1"/>
    <col min="4875" max="4875" width="19.42578125" style="105" customWidth="1"/>
    <col min="4876" max="4876" width="19.85546875" style="105" customWidth="1"/>
    <col min="4877" max="4877" width="22.7109375" style="105" customWidth="1"/>
    <col min="4878" max="4878" width="23.7109375" style="105" customWidth="1"/>
    <col min="4879" max="4879" width="48.7109375" style="105" customWidth="1"/>
    <col min="4880" max="4880" width="37.5703125" style="105" customWidth="1"/>
    <col min="4881" max="4881" width="40.28515625" style="105" customWidth="1"/>
    <col min="4882" max="4882" width="37.85546875" style="105" customWidth="1"/>
    <col min="4883" max="4883" width="40.5703125" style="105" customWidth="1"/>
    <col min="4884" max="4884" width="58.7109375" style="105" customWidth="1"/>
    <col min="4885" max="4885" width="28.85546875" style="105" customWidth="1"/>
    <col min="4886" max="4886" width="14.85546875" style="105" customWidth="1"/>
    <col min="4887" max="4887" width="42.85546875" style="105" customWidth="1"/>
    <col min="4888" max="4888" width="35.5703125" style="105" customWidth="1"/>
    <col min="4889" max="4889" width="33.140625" style="105" customWidth="1"/>
    <col min="4890" max="4890" width="23.140625" style="105" customWidth="1"/>
    <col min="4891" max="4891" width="31.42578125" style="105" customWidth="1"/>
    <col min="4892" max="4892" width="29.42578125" style="105" customWidth="1"/>
    <col min="4893" max="4893" width="22.42578125" style="105" customWidth="1"/>
    <col min="4894" max="4894" width="20.28515625" style="105" customWidth="1"/>
    <col min="4895" max="4895" width="24" style="105" customWidth="1"/>
    <col min="4896" max="4896" width="33.5703125" style="105" customWidth="1"/>
    <col min="4897" max="4897" width="50" style="105" customWidth="1"/>
    <col min="4898" max="4898" width="50.5703125" style="105" customWidth="1"/>
    <col min="4899" max="4899" width="49.140625" style="105" customWidth="1"/>
    <col min="4900" max="4900" width="58.5703125" style="105" customWidth="1"/>
    <col min="4901" max="4901" width="59" style="105" customWidth="1"/>
    <col min="4902" max="4902" width="57.5703125" style="105" customWidth="1"/>
    <col min="4903" max="4903" width="58.7109375" style="105" customWidth="1"/>
    <col min="4904" max="4904" width="59.140625" style="105" customWidth="1"/>
    <col min="4905" max="4905" width="57.7109375" style="105" customWidth="1"/>
    <col min="4906" max="4906" width="20.5703125" style="105" customWidth="1"/>
    <col min="4907" max="4907" width="20.85546875" style="105" customWidth="1"/>
    <col min="4908" max="4908" width="26.5703125" style="105" customWidth="1"/>
    <col min="4909" max="4909" width="24" style="105" customWidth="1"/>
    <col min="4910" max="4910" width="22" style="105" customWidth="1"/>
    <col min="4911" max="4911" width="22.140625" style="105" customWidth="1"/>
    <col min="4912" max="4912" width="27.85546875" style="105" customWidth="1"/>
    <col min="4913" max="4913" width="40.5703125" style="105" customWidth="1"/>
    <col min="4914" max="4914" width="147.5703125" style="105" customWidth="1"/>
    <col min="4915" max="5120" width="9.140625" style="105"/>
    <col min="5121" max="5121" width="9.42578125" style="105" customWidth="1"/>
    <col min="5122" max="5122" width="83.140625" style="105" customWidth="1"/>
    <col min="5123" max="5123" width="31.28515625" style="105" customWidth="1"/>
    <col min="5124" max="5124" width="35.42578125" style="105" customWidth="1"/>
    <col min="5125" max="5125" width="86.42578125" style="105" customWidth="1"/>
    <col min="5126" max="5126" width="6" style="105" customWidth="1"/>
    <col min="5127" max="5127" width="6.28515625" style="105" customWidth="1"/>
    <col min="5128" max="5128" width="18.7109375" style="105" customWidth="1"/>
    <col min="5129" max="5129" width="46.7109375" style="105" customWidth="1"/>
    <col min="5130" max="5130" width="17.85546875" style="105" customWidth="1"/>
    <col min="5131" max="5131" width="19.42578125" style="105" customWidth="1"/>
    <col min="5132" max="5132" width="19.85546875" style="105" customWidth="1"/>
    <col min="5133" max="5133" width="22.7109375" style="105" customWidth="1"/>
    <col min="5134" max="5134" width="23.7109375" style="105" customWidth="1"/>
    <col min="5135" max="5135" width="48.7109375" style="105" customWidth="1"/>
    <col min="5136" max="5136" width="37.5703125" style="105" customWidth="1"/>
    <col min="5137" max="5137" width="40.28515625" style="105" customWidth="1"/>
    <col min="5138" max="5138" width="37.85546875" style="105" customWidth="1"/>
    <col min="5139" max="5139" width="40.5703125" style="105" customWidth="1"/>
    <col min="5140" max="5140" width="58.7109375" style="105" customWidth="1"/>
    <col min="5141" max="5141" width="28.85546875" style="105" customWidth="1"/>
    <col min="5142" max="5142" width="14.85546875" style="105" customWidth="1"/>
    <col min="5143" max="5143" width="42.85546875" style="105" customWidth="1"/>
    <col min="5144" max="5144" width="35.5703125" style="105" customWidth="1"/>
    <col min="5145" max="5145" width="33.140625" style="105" customWidth="1"/>
    <col min="5146" max="5146" width="23.140625" style="105" customWidth="1"/>
    <col min="5147" max="5147" width="31.42578125" style="105" customWidth="1"/>
    <col min="5148" max="5148" width="29.42578125" style="105" customWidth="1"/>
    <col min="5149" max="5149" width="22.42578125" style="105" customWidth="1"/>
    <col min="5150" max="5150" width="20.28515625" style="105" customWidth="1"/>
    <col min="5151" max="5151" width="24" style="105" customWidth="1"/>
    <col min="5152" max="5152" width="33.5703125" style="105" customWidth="1"/>
    <col min="5153" max="5153" width="50" style="105" customWidth="1"/>
    <col min="5154" max="5154" width="50.5703125" style="105" customWidth="1"/>
    <col min="5155" max="5155" width="49.140625" style="105" customWidth="1"/>
    <col min="5156" max="5156" width="58.5703125" style="105" customWidth="1"/>
    <col min="5157" max="5157" width="59" style="105" customWidth="1"/>
    <col min="5158" max="5158" width="57.5703125" style="105" customWidth="1"/>
    <col min="5159" max="5159" width="58.7109375" style="105" customWidth="1"/>
    <col min="5160" max="5160" width="59.140625" style="105" customWidth="1"/>
    <col min="5161" max="5161" width="57.7109375" style="105" customWidth="1"/>
    <col min="5162" max="5162" width="20.5703125" style="105" customWidth="1"/>
    <col min="5163" max="5163" width="20.85546875" style="105" customWidth="1"/>
    <col min="5164" max="5164" width="26.5703125" style="105" customWidth="1"/>
    <col min="5165" max="5165" width="24" style="105" customWidth="1"/>
    <col min="5166" max="5166" width="22" style="105" customWidth="1"/>
    <col min="5167" max="5167" width="22.140625" style="105" customWidth="1"/>
    <col min="5168" max="5168" width="27.85546875" style="105" customWidth="1"/>
    <col min="5169" max="5169" width="40.5703125" style="105" customWidth="1"/>
    <col min="5170" max="5170" width="147.5703125" style="105" customWidth="1"/>
    <col min="5171" max="5376" width="9.140625" style="105"/>
    <col min="5377" max="5377" width="9.42578125" style="105" customWidth="1"/>
    <col min="5378" max="5378" width="83.140625" style="105" customWidth="1"/>
    <col min="5379" max="5379" width="31.28515625" style="105" customWidth="1"/>
    <col min="5380" max="5380" width="35.42578125" style="105" customWidth="1"/>
    <col min="5381" max="5381" width="86.42578125" style="105" customWidth="1"/>
    <col min="5382" max="5382" width="6" style="105" customWidth="1"/>
    <col min="5383" max="5383" width="6.28515625" style="105" customWidth="1"/>
    <col min="5384" max="5384" width="18.7109375" style="105" customWidth="1"/>
    <col min="5385" max="5385" width="46.7109375" style="105" customWidth="1"/>
    <col min="5386" max="5386" width="17.85546875" style="105" customWidth="1"/>
    <col min="5387" max="5387" width="19.42578125" style="105" customWidth="1"/>
    <col min="5388" max="5388" width="19.85546875" style="105" customWidth="1"/>
    <col min="5389" max="5389" width="22.7109375" style="105" customWidth="1"/>
    <col min="5390" max="5390" width="23.7109375" style="105" customWidth="1"/>
    <col min="5391" max="5391" width="48.7109375" style="105" customWidth="1"/>
    <col min="5392" max="5392" width="37.5703125" style="105" customWidth="1"/>
    <col min="5393" max="5393" width="40.28515625" style="105" customWidth="1"/>
    <col min="5394" max="5394" width="37.85546875" style="105" customWidth="1"/>
    <col min="5395" max="5395" width="40.5703125" style="105" customWidth="1"/>
    <col min="5396" max="5396" width="58.7109375" style="105" customWidth="1"/>
    <col min="5397" max="5397" width="28.85546875" style="105" customWidth="1"/>
    <col min="5398" max="5398" width="14.85546875" style="105" customWidth="1"/>
    <col min="5399" max="5399" width="42.85546875" style="105" customWidth="1"/>
    <col min="5400" max="5400" width="35.5703125" style="105" customWidth="1"/>
    <col min="5401" max="5401" width="33.140625" style="105" customWidth="1"/>
    <col min="5402" max="5402" width="23.140625" style="105" customWidth="1"/>
    <col min="5403" max="5403" width="31.42578125" style="105" customWidth="1"/>
    <col min="5404" max="5404" width="29.42578125" style="105" customWidth="1"/>
    <col min="5405" max="5405" width="22.42578125" style="105" customWidth="1"/>
    <col min="5406" max="5406" width="20.28515625" style="105" customWidth="1"/>
    <col min="5407" max="5407" width="24" style="105" customWidth="1"/>
    <col min="5408" max="5408" width="33.5703125" style="105" customWidth="1"/>
    <col min="5409" max="5409" width="50" style="105" customWidth="1"/>
    <col min="5410" max="5410" width="50.5703125" style="105" customWidth="1"/>
    <col min="5411" max="5411" width="49.140625" style="105" customWidth="1"/>
    <col min="5412" max="5412" width="58.5703125" style="105" customWidth="1"/>
    <col min="5413" max="5413" width="59" style="105" customWidth="1"/>
    <col min="5414" max="5414" width="57.5703125" style="105" customWidth="1"/>
    <col min="5415" max="5415" width="58.7109375" style="105" customWidth="1"/>
    <col min="5416" max="5416" width="59.140625" style="105" customWidth="1"/>
    <col min="5417" max="5417" width="57.7109375" style="105" customWidth="1"/>
    <col min="5418" max="5418" width="20.5703125" style="105" customWidth="1"/>
    <col min="5419" max="5419" width="20.85546875" style="105" customWidth="1"/>
    <col min="5420" max="5420" width="26.5703125" style="105" customWidth="1"/>
    <col min="5421" max="5421" width="24" style="105" customWidth="1"/>
    <col min="5422" max="5422" width="22" style="105" customWidth="1"/>
    <col min="5423" max="5423" width="22.140625" style="105" customWidth="1"/>
    <col min="5424" max="5424" width="27.85546875" style="105" customWidth="1"/>
    <col min="5425" max="5425" width="40.5703125" style="105" customWidth="1"/>
    <col min="5426" max="5426" width="147.5703125" style="105" customWidth="1"/>
    <col min="5427" max="5632" width="9.140625" style="105"/>
    <col min="5633" max="5633" width="9.42578125" style="105" customWidth="1"/>
    <col min="5634" max="5634" width="83.140625" style="105" customWidth="1"/>
    <col min="5635" max="5635" width="31.28515625" style="105" customWidth="1"/>
    <col min="5636" max="5636" width="35.42578125" style="105" customWidth="1"/>
    <col min="5637" max="5637" width="86.42578125" style="105" customWidth="1"/>
    <col min="5638" max="5638" width="6" style="105" customWidth="1"/>
    <col min="5639" max="5639" width="6.28515625" style="105" customWidth="1"/>
    <col min="5640" max="5640" width="18.7109375" style="105" customWidth="1"/>
    <col min="5641" max="5641" width="46.7109375" style="105" customWidth="1"/>
    <col min="5642" max="5642" width="17.85546875" style="105" customWidth="1"/>
    <col min="5643" max="5643" width="19.42578125" style="105" customWidth="1"/>
    <col min="5644" max="5644" width="19.85546875" style="105" customWidth="1"/>
    <col min="5645" max="5645" width="22.7109375" style="105" customWidth="1"/>
    <col min="5646" max="5646" width="23.7109375" style="105" customWidth="1"/>
    <col min="5647" max="5647" width="48.7109375" style="105" customWidth="1"/>
    <col min="5648" max="5648" width="37.5703125" style="105" customWidth="1"/>
    <col min="5649" max="5649" width="40.28515625" style="105" customWidth="1"/>
    <col min="5650" max="5650" width="37.85546875" style="105" customWidth="1"/>
    <col min="5651" max="5651" width="40.5703125" style="105" customWidth="1"/>
    <col min="5652" max="5652" width="58.7109375" style="105" customWidth="1"/>
    <col min="5653" max="5653" width="28.85546875" style="105" customWidth="1"/>
    <col min="5654" max="5654" width="14.85546875" style="105" customWidth="1"/>
    <col min="5655" max="5655" width="42.85546875" style="105" customWidth="1"/>
    <col min="5656" max="5656" width="35.5703125" style="105" customWidth="1"/>
    <col min="5657" max="5657" width="33.140625" style="105" customWidth="1"/>
    <col min="5658" max="5658" width="23.140625" style="105" customWidth="1"/>
    <col min="5659" max="5659" width="31.42578125" style="105" customWidth="1"/>
    <col min="5660" max="5660" width="29.42578125" style="105" customWidth="1"/>
    <col min="5661" max="5661" width="22.42578125" style="105" customWidth="1"/>
    <col min="5662" max="5662" width="20.28515625" style="105" customWidth="1"/>
    <col min="5663" max="5663" width="24" style="105" customWidth="1"/>
    <col min="5664" max="5664" width="33.5703125" style="105" customWidth="1"/>
    <col min="5665" max="5665" width="50" style="105" customWidth="1"/>
    <col min="5666" max="5666" width="50.5703125" style="105" customWidth="1"/>
    <col min="5667" max="5667" width="49.140625" style="105" customWidth="1"/>
    <col min="5668" max="5668" width="58.5703125" style="105" customWidth="1"/>
    <col min="5669" max="5669" width="59" style="105" customWidth="1"/>
    <col min="5670" max="5670" width="57.5703125" style="105" customWidth="1"/>
    <col min="5671" max="5671" width="58.7109375" style="105" customWidth="1"/>
    <col min="5672" max="5672" width="59.140625" style="105" customWidth="1"/>
    <col min="5673" max="5673" width="57.7109375" style="105" customWidth="1"/>
    <col min="5674" max="5674" width="20.5703125" style="105" customWidth="1"/>
    <col min="5675" max="5675" width="20.85546875" style="105" customWidth="1"/>
    <col min="5676" max="5676" width="26.5703125" style="105" customWidth="1"/>
    <col min="5677" max="5677" width="24" style="105" customWidth="1"/>
    <col min="5678" max="5678" width="22" style="105" customWidth="1"/>
    <col min="5679" max="5679" width="22.140625" style="105" customWidth="1"/>
    <col min="5680" max="5680" width="27.85546875" style="105" customWidth="1"/>
    <col min="5681" max="5681" width="40.5703125" style="105" customWidth="1"/>
    <col min="5682" max="5682" width="147.5703125" style="105" customWidth="1"/>
    <col min="5683" max="5888" width="9.140625" style="105"/>
    <col min="5889" max="5889" width="9.42578125" style="105" customWidth="1"/>
    <col min="5890" max="5890" width="83.140625" style="105" customWidth="1"/>
    <col min="5891" max="5891" width="31.28515625" style="105" customWidth="1"/>
    <col min="5892" max="5892" width="35.42578125" style="105" customWidth="1"/>
    <col min="5893" max="5893" width="86.42578125" style="105" customWidth="1"/>
    <col min="5894" max="5894" width="6" style="105" customWidth="1"/>
    <col min="5895" max="5895" width="6.28515625" style="105" customWidth="1"/>
    <col min="5896" max="5896" width="18.7109375" style="105" customWidth="1"/>
    <col min="5897" max="5897" width="46.7109375" style="105" customWidth="1"/>
    <col min="5898" max="5898" width="17.85546875" style="105" customWidth="1"/>
    <col min="5899" max="5899" width="19.42578125" style="105" customWidth="1"/>
    <col min="5900" max="5900" width="19.85546875" style="105" customWidth="1"/>
    <col min="5901" max="5901" width="22.7109375" style="105" customWidth="1"/>
    <col min="5902" max="5902" width="23.7109375" style="105" customWidth="1"/>
    <col min="5903" max="5903" width="48.7109375" style="105" customWidth="1"/>
    <col min="5904" max="5904" width="37.5703125" style="105" customWidth="1"/>
    <col min="5905" max="5905" width="40.28515625" style="105" customWidth="1"/>
    <col min="5906" max="5906" width="37.85546875" style="105" customWidth="1"/>
    <col min="5907" max="5907" width="40.5703125" style="105" customWidth="1"/>
    <col min="5908" max="5908" width="58.7109375" style="105" customWidth="1"/>
    <col min="5909" max="5909" width="28.85546875" style="105" customWidth="1"/>
    <col min="5910" max="5910" width="14.85546875" style="105" customWidth="1"/>
    <col min="5911" max="5911" width="42.85546875" style="105" customWidth="1"/>
    <col min="5912" max="5912" width="35.5703125" style="105" customWidth="1"/>
    <col min="5913" max="5913" width="33.140625" style="105" customWidth="1"/>
    <col min="5914" max="5914" width="23.140625" style="105" customWidth="1"/>
    <col min="5915" max="5915" width="31.42578125" style="105" customWidth="1"/>
    <col min="5916" max="5916" width="29.42578125" style="105" customWidth="1"/>
    <col min="5917" max="5917" width="22.42578125" style="105" customWidth="1"/>
    <col min="5918" max="5918" width="20.28515625" style="105" customWidth="1"/>
    <col min="5919" max="5919" width="24" style="105" customWidth="1"/>
    <col min="5920" max="5920" width="33.5703125" style="105" customWidth="1"/>
    <col min="5921" max="5921" width="50" style="105" customWidth="1"/>
    <col min="5922" max="5922" width="50.5703125" style="105" customWidth="1"/>
    <col min="5923" max="5923" width="49.140625" style="105" customWidth="1"/>
    <col min="5924" max="5924" width="58.5703125" style="105" customWidth="1"/>
    <col min="5925" max="5925" width="59" style="105" customWidth="1"/>
    <col min="5926" max="5926" width="57.5703125" style="105" customWidth="1"/>
    <col min="5927" max="5927" width="58.7109375" style="105" customWidth="1"/>
    <col min="5928" max="5928" width="59.140625" style="105" customWidth="1"/>
    <col min="5929" max="5929" width="57.7109375" style="105" customWidth="1"/>
    <col min="5930" max="5930" width="20.5703125" style="105" customWidth="1"/>
    <col min="5931" max="5931" width="20.85546875" style="105" customWidth="1"/>
    <col min="5932" max="5932" width="26.5703125" style="105" customWidth="1"/>
    <col min="5933" max="5933" width="24" style="105" customWidth="1"/>
    <col min="5934" max="5934" width="22" style="105" customWidth="1"/>
    <col min="5935" max="5935" width="22.140625" style="105" customWidth="1"/>
    <col min="5936" max="5936" width="27.85546875" style="105" customWidth="1"/>
    <col min="5937" max="5937" width="40.5703125" style="105" customWidth="1"/>
    <col min="5938" max="5938" width="147.5703125" style="105" customWidth="1"/>
    <col min="5939" max="6144" width="9.140625" style="105"/>
    <col min="6145" max="6145" width="9.42578125" style="105" customWidth="1"/>
    <col min="6146" max="6146" width="83.140625" style="105" customWidth="1"/>
    <col min="6147" max="6147" width="31.28515625" style="105" customWidth="1"/>
    <col min="6148" max="6148" width="35.42578125" style="105" customWidth="1"/>
    <col min="6149" max="6149" width="86.42578125" style="105" customWidth="1"/>
    <col min="6150" max="6150" width="6" style="105" customWidth="1"/>
    <col min="6151" max="6151" width="6.28515625" style="105" customWidth="1"/>
    <col min="6152" max="6152" width="18.7109375" style="105" customWidth="1"/>
    <col min="6153" max="6153" width="46.7109375" style="105" customWidth="1"/>
    <col min="6154" max="6154" width="17.85546875" style="105" customWidth="1"/>
    <col min="6155" max="6155" width="19.42578125" style="105" customWidth="1"/>
    <col min="6156" max="6156" width="19.85546875" style="105" customWidth="1"/>
    <col min="6157" max="6157" width="22.7109375" style="105" customWidth="1"/>
    <col min="6158" max="6158" width="23.7109375" style="105" customWidth="1"/>
    <col min="6159" max="6159" width="48.7109375" style="105" customWidth="1"/>
    <col min="6160" max="6160" width="37.5703125" style="105" customWidth="1"/>
    <col min="6161" max="6161" width="40.28515625" style="105" customWidth="1"/>
    <col min="6162" max="6162" width="37.85546875" style="105" customWidth="1"/>
    <col min="6163" max="6163" width="40.5703125" style="105" customWidth="1"/>
    <col min="6164" max="6164" width="58.7109375" style="105" customWidth="1"/>
    <col min="6165" max="6165" width="28.85546875" style="105" customWidth="1"/>
    <col min="6166" max="6166" width="14.85546875" style="105" customWidth="1"/>
    <col min="6167" max="6167" width="42.85546875" style="105" customWidth="1"/>
    <col min="6168" max="6168" width="35.5703125" style="105" customWidth="1"/>
    <col min="6169" max="6169" width="33.140625" style="105" customWidth="1"/>
    <col min="6170" max="6170" width="23.140625" style="105" customWidth="1"/>
    <col min="6171" max="6171" width="31.42578125" style="105" customWidth="1"/>
    <col min="6172" max="6172" width="29.42578125" style="105" customWidth="1"/>
    <col min="6173" max="6173" width="22.42578125" style="105" customWidth="1"/>
    <col min="6174" max="6174" width="20.28515625" style="105" customWidth="1"/>
    <col min="6175" max="6175" width="24" style="105" customWidth="1"/>
    <col min="6176" max="6176" width="33.5703125" style="105" customWidth="1"/>
    <col min="6177" max="6177" width="50" style="105" customWidth="1"/>
    <col min="6178" max="6178" width="50.5703125" style="105" customWidth="1"/>
    <col min="6179" max="6179" width="49.140625" style="105" customWidth="1"/>
    <col min="6180" max="6180" width="58.5703125" style="105" customWidth="1"/>
    <col min="6181" max="6181" width="59" style="105" customWidth="1"/>
    <col min="6182" max="6182" width="57.5703125" style="105" customWidth="1"/>
    <col min="6183" max="6183" width="58.7109375" style="105" customWidth="1"/>
    <col min="6184" max="6184" width="59.140625" style="105" customWidth="1"/>
    <col min="6185" max="6185" width="57.7109375" style="105" customWidth="1"/>
    <col min="6186" max="6186" width="20.5703125" style="105" customWidth="1"/>
    <col min="6187" max="6187" width="20.85546875" style="105" customWidth="1"/>
    <col min="6188" max="6188" width="26.5703125" style="105" customWidth="1"/>
    <col min="6189" max="6189" width="24" style="105" customWidth="1"/>
    <col min="6190" max="6190" width="22" style="105" customWidth="1"/>
    <col min="6191" max="6191" width="22.140625" style="105" customWidth="1"/>
    <col min="6192" max="6192" width="27.85546875" style="105" customWidth="1"/>
    <col min="6193" max="6193" width="40.5703125" style="105" customWidth="1"/>
    <col min="6194" max="6194" width="147.5703125" style="105" customWidth="1"/>
    <col min="6195" max="6400" width="9.140625" style="105"/>
    <col min="6401" max="6401" width="9.42578125" style="105" customWidth="1"/>
    <col min="6402" max="6402" width="83.140625" style="105" customWidth="1"/>
    <col min="6403" max="6403" width="31.28515625" style="105" customWidth="1"/>
    <col min="6404" max="6404" width="35.42578125" style="105" customWidth="1"/>
    <col min="6405" max="6405" width="86.42578125" style="105" customWidth="1"/>
    <col min="6406" max="6406" width="6" style="105" customWidth="1"/>
    <col min="6407" max="6407" width="6.28515625" style="105" customWidth="1"/>
    <col min="6408" max="6408" width="18.7109375" style="105" customWidth="1"/>
    <col min="6409" max="6409" width="46.7109375" style="105" customWidth="1"/>
    <col min="6410" max="6410" width="17.85546875" style="105" customWidth="1"/>
    <col min="6411" max="6411" width="19.42578125" style="105" customWidth="1"/>
    <col min="6412" max="6412" width="19.85546875" style="105" customWidth="1"/>
    <col min="6413" max="6413" width="22.7109375" style="105" customWidth="1"/>
    <col min="6414" max="6414" width="23.7109375" style="105" customWidth="1"/>
    <col min="6415" max="6415" width="48.7109375" style="105" customWidth="1"/>
    <col min="6416" max="6416" width="37.5703125" style="105" customWidth="1"/>
    <col min="6417" max="6417" width="40.28515625" style="105" customWidth="1"/>
    <col min="6418" max="6418" width="37.85546875" style="105" customWidth="1"/>
    <col min="6419" max="6419" width="40.5703125" style="105" customWidth="1"/>
    <col min="6420" max="6420" width="58.7109375" style="105" customWidth="1"/>
    <col min="6421" max="6421" width="28.85546875" style="105" customWidth="1"/>
    <col min="6422" max="6422" width="14.85546875" style="105" customWidth="1"/>
    <col min="6423" max="6423" width="42.85546875" style="105" customWidth="1"/>
    <col min="6424" max="6424" width="35.5703125" style="105" customWidth="1"/>
    <col min="6425" max="6425" width="33.140625" style="105" customWidth="1"/>
    <col min="6426" max="6426" width="23.140625" style="105" customWidth="1"/>
    <col min="6427" max="6427" width="31.42578125" style="105" customWidth="1"/>
    <col min="6428" max="6428" width="29.42578125" style="105" customWidth="1"/>
    <col min="6429" max="6429" width="22.42578125" style="105" customWidth="1"/>
    <col min="6430" max="6430" width="20.28515625" style="105" customWidth="1"/>
    <col min="6431" max="6431" width="24" style="105" customWidth="1"/>
    <col min="6432" max="6432" width="33.5703125" style="105" customWidth="1"/>
    <col min="6433" max="6433" width="50" style="105" customWidth="1"/>
    <col min="6434" max="6434" width="50.5703125" style="105" customWidth="1"/>
    <col min="6435" max="6435" width="49.140625" style="105" customWidth="1"/>
    <col min="6436" max="6436" width="58.5703125" style="105" customWidth="1"/>
    <col min="6437" max="6437" width="59" style="105" customWidth="1"/>
    <col min="6438" max="6438" width="57.5703125" style="105" customWidth="1"/>
    <col min="6439" max="6439" width="58.7109375" style="105" customWidth="1"/>
    <col min="6440" max="6440" width="59.140625" style="105" customWidth="1"/>
    <col min="6441" max="6441" width="57.7109375" style="105" customWidth="1"/>
    <col min="6442" max="6442" width="20.5703125" style="105" customWidth="1"/>
    <col min="6443" max="6443" width="20.85546875" style="105" customWidth="1"/>
    <col min="6444" max="6444" width="26.5703125" style="105" customWidth="1"/>
    <col min="6445" max="6445" width="24" style="105" customWidth="1"/>
    <col min="6446" max="6446" width="22" style="105" customWidth="1"/>
    <col min="6447" max="6447" width="22.140625" style="105" customWidth="1"/>
    <col min="6448" max="6448" width="27.85546875" style="105" customWidth="1"/>
    <col min="6449" max="6449" width="40.5703125" style="105" customWidth="1"/>
    <col min="6450" max="6450" width="147.5703125" style="105" customWidth="1"/>
    <col min="6451" max="6656" width="9.140625" style="105"/>
    <col min="6657" max="6657" width="9.42578125" style="105" customWidth="1"/>
    <col min="6658" max="6658" width="83.140625" style="105" customWidth="1"/>
    <col min="6659" max="6659" width="31.28515625" style="105" customWidth="1"/>
    <col min="6660" max="6660" width="35.42578125" style="105" customWidth="1"/>
    <col min="6661" max="6661" width="86.42578125" style="105" customWidth="1"/>
    <col min="6662" max="6662" width="6" style="105" customWidth="1"/>
    <col min="6663" max="6663" width="6.28515625" style="105" customWidth="1"/>
    <col min="6664" max="6664" width="18.7109375" style="105" customWidth="1"/>
    <col min="6665" max="6665" width="46.7109375" style="105" customWidth="1"/>
    <col min="6666" max="6666" width="17.85546875" style="105" customWidth="1"/>
    <col min="6667" max="6667" width="19.42578125" style="105" customWidth="1"/>
    <col min="6668" max="6668" width="19.85546875" style="105" customWidth="1"/>
    <col min="6669" max="6669" width="22.7109375" style="105" customWidth="1"/>
    <col min="6670" max="6670" width="23.7109375" style="105" customWidth="1"/>
    <col min="6671" max="6671" width="48.7109375" style="105" customWidth="1"/>
    <col min="6672" max="6672" width="37.5703125" style="105" customWidth="1"/>
    <col min="6673" max="6673" width="40.28515625" style="105" customWidth="1"/>
    <col min="6674" max="6674" width="37.85546875" style="105" customWidth="1"/>
    <col min="6675" max="6675" width="40.5703125" style="105" customWidth="1"/>
    <col min="6676" max="6676" width="58.7109375" style="105" customWidth="1"/>
    <col min="6677" max="6677" width="28.85546875" style="105" customWidth="1"/>
    <col min="6678" max="6678" width="14.85546875" style="105" customWidth="1"/>
    <col min="6679" max="6679" width="42.85546875" style="105" customWidth="1"/>
    <col min="6680" max="6680" width="35.5703125" style="105" customWidth="1"/>
    <col min="6681" max="6681" width="33.140625" style="105" customWidth="1"/>
    <col min="6682" max="6682" width="23.140625" style="105" customWidth="1"/>
    <col min="6683" max="6683" width="31.42578125" style="105" customWidth="1"/>
    <col min="6684" max="6684" width="29.42578125" style="105" customWidth="1"/>
    <col min="6685" max="6685" width="22.42578125" style="105" customWidth="1"/>
    <col min="6686" max="6686" width="20.28515625" style="105" customWidth="1"/>
    <col min="6687" max="6687" width="24" style="105" customWidth="1"/>
    <col min="6688" max="6688" width="33.5703125" style="105" customWidth="1"/>
    <col min="6689" max="6689" width="50" style="105" customWidth="1"/>
    <col min="6690" max="6690" width="50.5703125" style="105" customWidth="1"/>
    <col min="6691" max="6691" width="49.140625" style="105" customWidth="1"/>
    <col min="6692" max="6692" width="58.5703125" style="105" customWidth="1"/>
    <col min="6693" max="6693" width="59" style="105" customWidth="1"/>
    <col min="6694" max="6694" width="57.5703125" style="105" customWidth="1"/>
    <col min="6695" max="6695" width="58.7109375" style="105" customWidth="1"/>
    <col min="6696" max="6696" width="59.140625" style="105" customWidth="1"/>
    <col min="6697" max="6697" width="57.7109375" style="105" customWidth="1"/>
    <col min="6698" max="6698" width="20.5703125" style="105" customWidth="1"/>
    <col min="6699" max="6699" width="20.85546875" style="105" customWidth="1"/>
    <col min="6700" max="6700" width="26.5703125" style="105" customWidth="1"/>
    <col min="6701" max="6701" width="24" style="105" customWidth="1"/>
    <col min="6702" max="6702" width="22" style="105" customWidth="1"/>
    <col min="6703" max="6703" width="22.140625" style="105" customWidth="1"/>
    <col min="6704" max="6704" width="27.85546875" style="105" customWidth="1"/>
    <col min="6705" max="6705" width="40.5703125" style="105" customWidth="1"/>
    <col min="6706" max="6706" width="147.5703125" style="105" customWidth="1"/>
    <col min="6707" max="6912" width="9.140625" style="105"/>
    <col min="6913" max="6913" width="9.42578125" style="105" customWidth="1"/>
    <col min="6914" max="6914" width="83.140625" style="105" customWidth="1"/>
    <col min="6915" max="6915" width="31.28515625" style="105" customWidth="1"/>
    <col min="6916" max="6916" width="35.42578125" style="105" customWidth="1"/>
    <col min="6917" max="6917" width="86.42578125" style="105" customWidth="1"/>
    <col min="6918" max="6918" width="6" style="105" customWidth="1"/>
    <col min="6919" max="6919" width="6.28515625" style="105" customWidth="1"/>
    <col min="6920" max="6920" width="18.7109375" style="105" customWidth="1"/>
    <col min="6921" max="6921" width="46.7109375" style="105" customWidth="1"/>
    <col min="6922" max="6922" width="17.85546875" style="105" customWidth="1"/>
    <col min="6923" max="6923" width="19.42578125" style="105" customWidth="1"/>
    <col min="6924" max="6924" width="19.85546875" style="105" customWidth="1"/>
    <col min="6925" max="6925" width="22.7109375" style="105" customWidth="1"/>
    <col min="6926" max="6926" width="23.7109375" style="105" customWidth="1"/>
    <col min="6927" max="6927" width="48.7109375" style="105" customWidth="1"/>
    <col min="6928" max="6928" width="37.5703125" style="105" customWidth="1"/>
    <col min="6929" max="6929" width="40.28515625" style="105" customWidth="1"/>
    <col min="6930" max="6930" width="37.85546875" style="105" customWidth="1"/>
    <col min="6931" max="6931" width="40.5703125" style="105" customWidth="1"/>
    <col min="6932" max="6932" width="58.7109375" style="105" customWidth="1"/>
    <col min="6933" max="6933" width="28.85546875" style="105" customWidth="1"/>
    <col min="6934" max="6934" width="14.85546875" style="105" customWidth="1"/>
    <col min="6935" max="6935" width="42.85546875" style="105" customWidth="1"/>
    <col min="6936" max="6936" width="35.5703125" style="105" customWidth="1"/>
    <col min="6937" max="6937" width="33.140625" style="105" customWidth="1"/>
    <col min="6938" max="6938" width="23.140625" style="105" customWidth="1"/>
    <col min="6939" max="6939" width="31.42578125" style="105" customWidth="1"/>
    <col min="6940" max="6940" width="29.42578125" style="105" customWidth="1"/>
    <col min="6941" max="6941" width="22.42578125" style="105" customWidth="1"/>
    <col min="6942" max="6942" width="20.28515625" style="105" customWidth="1"/>
    <col min="6943" max="6943" width="24" style="105" customWidth="1"/>
    <col min="6944" max="6944" width="33.5703125" style="105" customWidth="1"/>
    <col min="6945" max="6945" width="50" style="105" customWidth="1"/>
    <col min="6946" max="6946" width="50.5703125" style="105" customWidth="1"/>
    <col min="6947" max="6947" width="49.140625" style="105" customWidth="1"/>
    <col min="6948" max="6948" width="58.5703125" style="105" customWidth="1"/>
    <col min="6949" max="6949" width="59" style="105" customWidth="1"/>
    <col min="6950" max="6950" width="57.5703125" style="105" customWidth="1"/>
    <col min="6951" max="6951" width="58.7109375" style="105" customWidth="1"/>
    <col min="6952" max="6952" width="59.140625" style="105" customWidth="1"/>
    <col min="6953" max="6953" width="57.7109375" style="105" customWidth="1"/>
    <col min="6954" max="6954" width="20.5703125" style="105" customWidth="1"/>
    <col min="6955" max="6955" width="20.85546875" style="105" customWidth="1"/>
    <col min="6956" max="6956" width="26.5703125" style="105" customWidth="1"/>
    <col min="6957" max="6957" width="24" style="105" customWidth="1"/>
    <col min="6958" max="6958" width="22" style="105" customWidth="1"/>
    <col min="6959" max="6959" width="22.140625" style="105" customWidth="1"/>
    <col min="6960" max="6960" width="27.85546875" style="105" customWidth="1"/>
    <col min="6961" max="6961" width="40.5703125" style="105" customWidth="1"/>
    <col min="6962" max="6962" width="147.5703125" style="105" customWidth="1"/>
    <col min="6963" max="7168" width="9.140625" style="105"/>
    <col min="7169" max="7169" width="9.42578125" style="105" customWidth="1"/>
    <col min="7170" max="7170" width="83.140625" style="105" customWidth="1"/>
    <col min="7171" max="7171" width="31.28515625" style="105" customWidth="1"/>
    <col min="7172" max="7172" width="35.42578125" style="105" customWidth="1"/>
    <col min="7173" max="7173" width="86.42578125" style="105" customWidth="1"/>
    <col min="7174" max="7174" width="6" style="105" customWidth="1"/>
    <col min="7175" max="7175" width="6.28515625" style="105" customWidth="1"/>
    <col min="7176" max="7176" width="18.7109375" style="105" customWidth="1"/>
    <col min="7177" max="7177" width="46.7109375" style="105" customWidth="1"/>
    <col min="7178" max="7178" width="17.85546875" style="105" customWidth="1"/>
    <col min="7179" max="7179" width="19.42578125" style="105" customWidth="1"/>
    <col min="7180" max="7180" width="19.85546875" style="105" customWidth="1"/>
    <col min="7181" max="7181" width="22.7109375" style="105" customWidth="1"/>
    <col min="7182" max="7182" width="23.7109375" style="105" customWidth="1"/>
    <col min="7183" max="7183" width="48.7109375" style="105" customWidth="1"/>
    <col min="7184" max="7184" width="37.5703125" style="105" customWidth="1"/>
    <col min="7185" max="7185" width="40.28515625" style="105" customWidth="1"/>
    <col min="7186" max="7186" width="37.85546875" style="105" customWidth="1"/>
    <col min="7187" max="7187" width="40.5703125" style="105" customWidth="1"/>
    <col min="7188" max="7188" width="58.7109375" style="105" customWidth="1"/>
    <col min="7189" max="7189" width="28.85546875" style="105" customWidth="1"/>
    <col min="7190" max="7190" width="14.85546875" style="105" customWidth="1"/>
    <col min="7191" max="7191" width="42.85546875" style="105" customWidth="1"/>
    <col min="7192" max="7192" width="35.5703125" style="105" customWidth="1"/>
    <col min="7193" max="7193" width="33.140625" style="105" customWidth="1"/>
    <col min="7194" max="7194" width="23.140625" style="105" customWidth="1"/>
    <col min="7195" max="7195" width="31.42578125" style="105" customWidth="1"/>
    <col min="7196" max="7196" width="29.42578125" style="105" customWidth="1"/>
    <col min="7197" max="7197" width="22.42578125" style="105" customWidth="1"/>
    <col min="7198" max="7198" width="20.28515625" style="105" customWidth="1"/>
    <col min="7199" max="7199" width="24" style="105" customWidth="1"/>
    <col min="7200" max="7200" width="33.5703125" style="105" customWidth="1"/>
    <col min="7201" max="7201" width="50" style="105" customWidth="1"/>
    <col min="7202" max="7202" width="50.5703125" style="105" customWidth="1"/>
    <col min="7203" max="7203" width="49.140625" style="105" customWidth="1"/>
    <col min="7204" max="7204" width="58.5703125" style="105" customWidth="1"/>
    <col min="7205" max="7205" width="59" style="105" customWidth="1"/>
    <col min="7206" max="7206" width="57.5703125" style="105" customWidth="1"/>
    <col min="7207" max="7207" width="58.7109375" style="105" customWidth="1"/>
    <col min="7208" max="7208" width="59.140625" style="105" customWidth="1"/>
    <col min="7209" max="7209" width="57.7109375" style="105" customWidth="1"/>
    <col min="7210" max="7210" width="20.5703125" style="105" customWidth="1"/>
    <col min="7211" max="7211" width="20.85546875" style="105" customWidth="1"/>
    <col min="7212" max="7212" width="26.5703125" style="105" customWidth="1"/>
    <col min="7213" max="7213" width="24" style="105" customWidth="1"/>
    <col min="7214" max="7214" width="22" style="105" customWidth="1"/>
    <col min="7215" max="7215" width="22.140625" style="105" customWidth="1"/>
    <col min="7216" max="7216" width="27.85546875" style="105" customWidth="1"/>
    <col min="7217" max="7217" width="40.5703125" style="105" customWidth="1"/>
    <col min="7218" max="7218" width="147.5703125" style="105" customWidth="1"/>
    <col min="7219" max="7424" width="9.140625" style="105"/>
    <col min="7425" max="7425" width="9.42578125" style="105" customWidth="1"/>
    <col min="7426" max="7426" width="83.140625" style="105" customWidth="1"/>
    <col min="7427" max="7427" width="31.28515625" style="105" customWidth="1"/>
    <col min="7428" max="7428" width="35.42578125" style="105" customWidth="1"/>
    <col min="7429" max="7429" width="86.42578125" style="105" customWidth="1"/>
    <col min="7430" max="7430" width="6" style="105" customWidth="1"/>
    <col min="7431" max="7431" width="6.28515625" style="105" customWidth="1"/>
    <col min="7432" max="7432" width="18.7109375" style="105" customWidth="1"/>
    <col min="7433" max="7433" width="46.7109375" style="105" customWidth="1"/>
    <col min="7434" max="7434" width="17.85546875" style="105" customWidth="1"/>
    <col min="7435" max="7435" width="19.42578125" style="105" customWidth="1"/>
    <col min="7436" max="7436" width="19.85546875" style="105" customWidth="1"/>
    <col min="7437" max="7437" width="22.7109375" style="105" customWidth="1"/>
    <col min="7438" max="7438" width="23.7109375" style="105" customWidth="1"/>
    <col min="7439" max="7439" width="48.7109375" style="105" customWidth="1"/>
    <col min="7440" max="7440" width="37.5703125" style="105" customWidth="1"/>
    <col min="7441" max="7441" width="40.28515625" style="105" customWidth="1"/>
    <col min="7442" max="7442" width="37.85546875" style="105" customWidth="1"/>
    <col min="7443" max="7443" width="40.5703125" style="105" customWidth="1"/>
    <col min="7444" max="7444" width="58.7109375" style="105" customWidth="1"/>
    <col min="7445" max="7445" width="28.85546875" style="105" customWidth="1"/>
    <col min="7446" max="7446" width="14.85546875" style="105" customWidth="1"/>
    <col min="7447" max="7447" width="42.85546875" style="105" customWidth="1"/>
    <col min="7448" max="7448" width="35.5703125" style="105" customWidth="1"/>
    <col min="7449" max="7449" width="33.140625" style="105" customWidth="1"/>
    <col min="7450" max="7450" width="23.140625" style="105" customWidth="1"/>
    <col min="7451" max="7451" width="31.42578125" style="105" customWidth="1"/>
    <col min="7452" max="7452" width="29.42578125" style="105" customWidth="1"/>
    <col min="7453" max="7453" width="22.42578125" style="105" customWidth="1"/>
    <col min="7454" max="7454" width="20.28515625" style="105" customWidth="1"/>
    <col min="7455" max="7455" width="24" style="105" customWidth="1"/>
    <col min="7456" max="7456" width="33.5703125" style="105" customWidth="1"/>
    <col min="7457" max="7457" width="50" style="105" customWidth="1"/>
    <col min="7458" max="7458" width="50.5703125" style="105" customWidth="1"/>
    <col min="7459" max="7459" width="49.140625" style="105" customWidth="1"/>
    <col min="7460" max="7460" width="58.5703125" style="105" customWidth="1"/>
    <col min="7461" max="7461" width="59" style="105" customWidth="1"/>
    <col min="7462" max="7462" width="57.5703125" style="105" customWidth="1"/>
    <col min="7463" max="7463" width="58.7109375" style="105" customWidth="1"/>
    <col min="7464" max="7464" width="59.140625" style="105" customWidth="1"/>
    <col min="7465" max="7465" width="57.7109375" style="105" customWidth="1"/>
    <col min="7466" max="7466" width="20.5703125" style="105" customWidth="1"/>
    <col min="7467" max="7467" width="20.85546875" style="105" customWidth="1"/>
    <col min="7468" max="7468" width="26.5703125" style="105" customWidth="1"/>
    <col min="7469" max="7469" width="24" style="105" customWidth="1"/>
    <col min="7470" max="7470" width="22" style="105" customWidth="1"/>
    <col min="7471" max="7471" width="22.140625" style="105" customWidth="1"/>
    <col min="7472" max="7472" width="27.85546875" style="105" customWidth="1"/>
    <col min="7473" max="7473" width="40.5703125" style="105" customWidth="1"/>
    <col min="7474" max="7474" width="147.5703125" style="105" customWidth="1"/>
    <col min="7475" max="7680" width="9.140625" style="105"/>
    <col min="7681" max="7681" width="9.42578125" style="105" customWidth="1"/>
    <col min="7682" max="7682" width="83.140625" style="105" customWidth="1"/>
    <col min="7683" max="7683" width="31.28515625" style="105" customWidth="1"/>
    <col min="7684" max="7684" width="35.42578125" style="105" customWidth="1"/>
    <col min="7685" max="7685" width="86.42578125" style="105" customWidth="1"/>
    <col min="7686" max="7686" width="6" style="105" customWidth="1"/>
    <col min="7687" max="7687" width="6.28515625" style="105" customWidth="1"/>
    <col min="7688" max="7688" width="18.7109375" style="105" customWidth="1"/>
    <col min="7689" max="7689" width="46.7109375" style="105" customWidth="1"/>
    <col min="7690" max="7690" width="17.85546875" style="105" customWidth="1"/>
    <col min="7691" max="7691" width="19.42578125" style="105" customWidth="1"/>
    <col min="7692" max="7692" width="19.85546875" style="105" customWidth="1"/>
    <col min="7693" max="7693" width="22.7109375" style="105" customWidth="1"/>
    <col min="7694" max="7694" width="23.7109375" style="105" customWidth="1"/>
    <col min="7695" max="7695" width="48.7109375" style="105" customWidth="1"/>
    <col min="7696" max="7696" width="37.5703125" style="105" customWidth="1"/>
    <col min="7697" max="7697" width="40.28515625" style="105" customWidth="1"/>
    <col min="7698" max="7698" width="37.85546875" style="105" customWidth="1"/>
    <col min="7699" max="7699" width="40.5703125" style="105" customWidth="1"/>
    <col min="7700" max="7700" width="58.7109375" style="105" customWidth="1"/>
    <col min="7701" max="7701" width="28.85546875" style="105" customWidth="1"/>
    <col min="7702" max="7702" width="14.85546875" style="105" customWidth="1"/>
    <col min="7703" max="7703" width="42.85546875" style="105" customWidth="1"/>
    <col min="7704" max="7704" width="35.5703125" style="105" customWidth="1"/>
    <col min="7705" max="7705" width="33.140625" style="105" customWidth="1"/>
    <col min="7706" max="7706" width="23.140625" style="105" customWidth="1"/>
    <col min="7707" max="7707" width="31.42578125" style="105" customWidth="1"/>
    <col min="7708" max="7708" width="29.42578125" style="105" customWidth="1"/>
    <col min="7709" max="7709" width="22.42578125" style="105" customWidth="1"/>
    <col min="7710" max="7710" width="20.28515625" style="105" customWidth="1"/>
    <col min="7711" max="7711" width="24" style="105" customWidth="1"/>
    <col min="7712" max="7712" width="33.5703125" style="105" customWidth="1"/>
    <col min="7713" max="7713" width="50" style="105" customWidth="1"/>
    <col min="7714" max="7714" width="50.5703125" style="105" customWidth="1"/>
    <col min="7715" max="7715" width="49.140625" style="105" customWidth="1"/>
    <col min="7716" max="7716" width="58.5703125" style="105" customWidth="1"/>
    <col min="7717" max="7717" width="59" style="105" customWidth="1"/>
    <col min="7718" max="7718" width="57.5703125" style="105" customWidth="1"/>
    <col min="7719" max="7719" width="58.7109375" style="105" customWidth="1"/>
    <col min="7720" max="7720" width="59.140625" style="105" customWidth="1"/>
    <col min="7721" max="7721" width="57.7109375" style="105" customWidth="1"/>
    <col min="7722" max="7722" width="20.5703125" style="105" customWidth="1"/>
    <col min="7723" max="7723" width="20.85546875" style="105" customWidth="1"/>
    <col min="7724" max="7724" width="26.5703125" style="105" customWidth="1"/>
    <col min="7725" max="7725" width="24" style="105" customWidth="1"/>
    <col min="7726" max="7726" width="22" style="105" customWidth="1"/>
    <col min="7727" max="7727" width="22.140625" style="105" customWidth="1"/>
    <col min="7728" max="7728" width="27.85546875" style="105" customWidth="1"/>
    <col min="7729" max="7729" width="40.5703125" style="105" customWidth="1"/>
    <col min="7730" max="7730" width="147.5703125" style="105" customWidth="1"/>
    <col min="7731" max="7936" width="9.140625" style="105"/>
    <col min="7937" max="7937" width="9.42578125" style="105" customWidth="1"/>
    <col min="7938" max="7938" width="83.140625" style="105" customWidth="1"/>
    <col min="7939" max="7939" width="31.28515625" style="105" customWidth="1"/>
    <col min="7940" max="7940" width="35.42578125" style="105" customWidth="1"/>
    <col min="7941" max="7941" width="86.42578125" style="105" customWidth="1"/>
    <col min="7942" max="7942" width="6" style="105" customWidth="1"/>
    <col min="7943" max="7943" width="6.28515625" style="105" customWidth="1"/>
    <col min="7944" max="7944" width="18.7109375" style="105" customWidth="1"/>
    <col min="7945" max="7945" width="46.7109375" style="105" customWidth="1"/>
    <col min="7946" max="7946" width="17.85546875" style="105" customWidth="1"/>
    <col min="7947" max="7947" width="19.42578125" style="105" customWidth="1"/>
    <col min="7948" max="7948" width="19.85546875" style="105" customWidth="1"/>
    <col min="7949" max="7949" width="22.7109375" style="105" customWidth="1"/>
    <col min="7950" max="7950" width="23.7109375" style="105" customWidth="1"/>
    <col min="7951" max="7951" width="48.7109375" style="105" customWidth="1"/>
    <col min="7952" max="7952" width="37.5703125" style="105" customWidth="1"/>
    <col min="7953" max="7953" width="40.28515625" style="105" customWidth="1"/>
    <col min="7954" max="7954" width="37.85546875" style="105" customWidth="1"/>
    <col min="7955" max="7955" width="40.5703125" style="105" customWidth="1"/>
    <col min="7956" max="7956" width="58.7109375" style="105" customWidth="1"/>
    <col min="7957" max="7957" width="28.85546875" style="105" customWidth="1"/>
    <col min="7958" max="7958" width="14.85546875" style="105" customWidth="1"/>
    <col min="7959" max="7959" width="42.85546875" style="105" customWidth="1"/>
    <col min="7960" max="7960" width="35.5703125" style="105" customWidth="1"/>
    <col min="7961" max="7961" width="33.140625" style="105" customWidth="1"/>
    <col min="7962" max="7962" width="23.140625" style="105" customWidth="1"/>
    <col min="7963" max="7963" width="31.42578125" style="105" customWidth="1"/>
    <col min="7964" max="7964" width="29.42578125" style="105" customWidth="1"/>
    <col min="7965" max="7965" width="22.42578125" style="105" customWidth="1"/>
    <col min="7966" max="7966" width="20.28515625" style="105" customWidth="1"/>
    <col min="7967" max="7967" width="24" style="105" customWidth="1"/>
    <col min="7968" max="7968" width="33.5703125" style="105" customWidth="1"/>
    <col min="7969" max="7969" width="50" style="105" customWidth="1"/>
    <col min="7970" max="7970" width="50.5703125" style="105" customWidth="1"/>
    <col min="7971" max="7971" width="49.140625" style="105" customWidth="1"/>
    <col min="7972" max="7972" width="58.5703125" style="105" customWidth="1"/>
    <col min="7973" max="7973" width="59" style="105" customWidth="1"/>
    <col min="7974" max="7974" width="57.5703125" style="105" customWidth="1"/>
    <col min="7975" max="7975" width="58.7109375" style="105" customWidth="1"/>
    <col min="7976" max="7976" width="59.140625" style="105" customWidth="1"/>
    <col min="7977" max="7977" width="57.7109375" style="105" customWidth="1"/>
    <col min="7978" max="7978" width="20.5703125" style="105" customWidth="1"/>
    <col min="7979" max="7979" width="20.85546875" style="105" customWidth="1"/>
    <col min="7980" max="7980" width="26.5703125" style="105" customWidth="1"/>
    <col min="7981" max="7981" width="24" style="105" customWidth="1"/>
    <col min="7982" max="7982" width="22" style="105" customWidth="1"/>
    <col min="7983" max="7983" width="22.140625" style="105" customWidth="1"/>
    <col min="7984" max="7984" width="27.85546875" style="105" customWidth="1"/>
    <col min="7985" max="7985" width="40.5703125" style="105" customWidth="1"/>
    <col min="7986" max="7986" width="147.5703125" style="105" customWidth="1"/>
    <col min="7987" max="8192" width="9.140625" style="105"/>
    <col min="8193" max="8193" width="9.42578125" style="105" customWidth="1"/>
    <col min="8194" max="8194" width="83.140625" style="105" customWidth="1"/>
    <col min="8195" max="8195" width="31.28515625" style="105" customWidth="1"/>
    <col min="8196" max="8196" width="35.42578125" style="105" customWidth="1"/>
    <col min="8197" max="8197" width="86.42578125" style="105" customWidth="1"/>
    <col min="8198" max="8198" width="6" style="105" customWidth="1"/>
    <col min="8199" max="8199" width="6.28515625" style="105" customWidth="1"/>
    <col min="8200" max="8200" width="18.7109375" style="105" customWidth="1"/>
    <col min="8201" max="8201" width="46.7109375" style="105" customWidth="1"/>
    <col min="8202" max="8202" width="17.85546875" style="105" customWidth="1"/>
    <col min="8203" max="8203" width="19.42578125" style="105" customWidth="1"/>
    <col min="8204" max="8204" width="19.85546875" style="105" customWidth="1"/>
    <col min="8205" max="8205" width="22.7109375" style="105" customWidth="1"/>
    <col min="8206" max="8206" width="23.7109375" style="105" customWidth="1"/>
    <col min="8207" max="8207" width="48.7109375" style="105" customWidth="1"/>
    <col min="8208" max="8208" width="37.5703125" style="105" customWidth="1"/>
    <col min="8209" max="8209" width="40.28515625" style="105" customWidth="1"/>
    <col min="8210" max="8210" width="37.85546875" style="105" customWidth="1"/>
    <col min="8211" max="8211" width="40.5703125" style="105" customWidth="1"/>
    <col min="8212" max="8212" width="58.7109375" style="105" customWidth="1"/>
    <col min="8213" max="8213" width="28.85546875" style="105" customWidth="1"/>
    <col min="8214" max="8214" width="14.85546875" style="105" customWidth="1"/>
    <col min="8215" max="8215" width="42.85546875" style="105" customWidth="1"/>
    <col min="8216" max="8216" width="35.5703125" style="105" customWidth="1"/>
    <col min="8217" max="8217" width="33.140625" style="105" customWidth="1"/>
    <col min="8218" max="8218" width="23.140625" style="105" customWidth="1"/>
    <col min="8219" max="8219" width="31.42578125" style="105" customWidth="1"/>
    <col min="8220" max="8220" width="29.42578125" style="105" customWidth="1"/>
    <col min="8221" max="8221" width="22.42578125" style="105" customWidth="1"/>
    <col min="8222" max="8222" width="20.28515625" style="105" customWidth="1"/>
    <col min="8223" max="8223" width="24" style="105" customWidth="1"/>
    <col min="8224" max="8224" width="33.5703125" style="105" customWidth="1"/>
    <col min="8225" max="8225" width="50" style="105" customWidth="1"/>
    <col min="8226" max="8226" width="50.5703125" style="105" customWidth="1"/>
    <col min="8227" max="8227" width="49.140625" style="105" customWidth="1"/>
    <col min="8228" max="8228" width="58.5703125" style="105" customWidth="1"/>
    <col min="8229" max="8229" width="59" style="105" customWidth="1"/>
    <col min="8230" max="8230" width="57.5703125" style="105" customWidth="1"/>
    <col min="8231" max="8231" width="58.7109375" style="105" customWidth="1"/>
    <col min="8232" max="8232" width="59.140625" style="105" customWidth="1"/>
    <col min="8233" max="8233" width="57.7109375" style="105" customWidth="1"/>
    <col min="8234" max="8234" width="20.5703125" style="105" customWidth="1"/>
    <col min="8235" max="8235" width="20.85546875" style="105" customWidth="1"/>
    <col min="8236" max="8236" width="26.5703125" style="105" customWidth="1"/>
    <col min="8237" max="8237" width="24" style="105" customWidth="1"/>
    <col min="8238" max="8238" width="22" style="105" customWidth="1"/>
    <col min="8239" max="8239" width="22.140625" style="105" customWidth="1"/>
    <col min="8240" max="8240" width="27.85546875" style="105" customWidth="1"/>
    <col min="8241" max="8241" width="40.5703125" style="105" customWidth="1"/>
    <col min="8242" max="8242" width="147.5703125" style="105" customWidth="1"/>
    <col min="8243" max="8448" width="9.140625" style="105"/>
    <col min="8449" max="8449" width="9.42578125" style="105" customWidth="1"/>
    <col min="8450" max="8450" width="83.140625" style="105" customWidth="1"/>
    <col min="8451" max="8451" width="31.28515625" style="105" customWidth="1"/>
    <col min="8452" max="8452" width="35.42578125" style="105" customWidth="1"/>
    <col min="8453" max="8453" width="86.42578125" style="105" customWidth="1"/>
    <col min="8454" max="8454" width="6" style="105" customWidth="1"/>
    <col min="8455" max="8455" width="6.28515625" style="105" customWidth="1"/>
    <col min="8456" max="8456" width="18.7109375" style="105" customWidth="1"/>
    <col min="8457" max="8457" width="46.7109375" style="105" customWidth="1"/>
    <col min="8458" max="8458" width="17.85546875" style="105" customWidth="1"/>
    <col min="8459" max="8459" width="19.42578125" style="105" customWidth="1"/>
    <col min="8460" max="8460" width="19.85546875" style="105" customWidth="1"/>
    <col min="8461" max="8461" width="22.7109375" style="105" customWidth="1"/>
    <col min="8462" max="8462" width="23.7109375" style="105" customWidth="1"/>
    <col min="8463" max="8463" width="48.7109375" style="105" customWidth="1"/>
    <col min="8464" max="8464" width="37.5703125" style="105" customWidth="1"/>
    <col min="8465" max="8465" width="40.28515625" style="105" customWidth="1"/>
    <col min="8466" max="8466" width="37.85546875" style="105" customWidth="1"/>
    <col min="8467" max="8467" width="40.5703125" style="105" customWidth="1"/>
    <col min="8468" max="8468" width="58.7109375" style="105" customWidth="1"/>
    <col min="8469" max="8469" width="28.85546875" style="105" customWidth="1"/>
    <col min="8470" max="8470" width="14.85546875" style="105" customWidth="1"/>
    <col min="8471" max="8471" width="42.85546875" style="105" customWidth="1"/>
    <col min="8472" max="8472" width="35.5703125" style="105" customWidth="1"/>
    <col min="8473" max="8473" width="33.140625" style="105" customWidth="1"/>
    <col min="8474" max="8474" width="23.140625" style="105" customWidth="1"/>
    <col min="8475" max="8475" width="31.42578125" style="105" customWidth="1"/>
    <col min="8476" max="8476" width="29.42578125" style="105" customWidth="1"/>
    <col min="8477" max="8477" width="22.42578125" style="105" customWidth="1"/>
    <col min="8478" max="8478" width="20.28515625" style="105" customWidth="1"/>
    <col min="8479" max="8479" width="24" style="105" customWidth="1"/>
    <col min="8480" max="8480" width="33.5703125" style="105" customWidth="1"/>
    <col min="8481" max="8481" width="50" style="105" customWidth="1"/>
    <col min="8482" max="8482" width="50.5703125" style="105" customWidth="1"/>
    <col min="8483" max="8483" width="49.140625" style="105" customWidth="1"/>
    <col min="8484" max="8484" width="58.5703125" style="105" customWidth="1"/>
    <col min="8485" max="8485" width="59" style="105" customWidth="1"/>
    <col min="8486" max="8486" width="57.5703125" style="105" customWidth="1"/>
    <col min="8487" max="8487" width="58.7109375" style="105" customWidth="1"/>
    <col min="8488" max="8488" width="59.140625" style="105" customWidth="1"/>
    <col min="8489" max="8489" width="57.7109375" style="105" customWidth="1"/>
    <col min="8490" max="8490" width="20.5703125" style="105" customWidth="1"/>
    <col min="8491" max="8491" width="20.85546875" style="105" customWidth="1"/>
    <col min="8492" max="8492" width="26.5703125" style="105" customWidth="1"/>
    <col min="8493" max="8493" width="24" style="105" customWidth="1"/>
    <col min="8494" max="8494" width="22" style="105" customWidth="1"/>
    <col min="8495" max="8495" width="22.140625" style="105" customWidth="1"/>
    <col min="8496" max="8496" width="27.85546875" style="105" customWidth="1"/>
    <col min="8497" max="8497" width="40.5703125" style="105" customWidth="1"/>
    <col min="8498" max="8498" width="147.5703125" style="105" customWidth="1"/>
    <col min="8499" max="8704" width="9.140625" style="105"/>
    <col min="8705" max="8705" width="9.42578125" style="105" customWidth="1"/>
    <col min="8706" max="8706" width="83.140625" style="105" customWidth="1"/>
    <col min="8707" max="8707" width="31.28515625" style="105" customWidth="1"/>
    <col min="8708" max="8708" width="35.42578125" style="105" customWidth="1"/>
    <col min="8709" max="8709" width="86.42578125" style="105" customWidth="1"/>
    <col min="8710" max="8710" width="6" style="105" customWidth="1"/>
    <col min="8711" max="8711" width="6.28515625" style="105" customWidth="1"/>
    <col min="8712" max="8712" width="18.7109375" style="105" customWidth="1"/>
    <col min="8713" max="8713" width="46.7109375" style="105" customWidth="1"/>
    <col min="8714" max="8714" width="17.85546875" style="105" customWidth="1"/>
    <col min="8715" max="8715" width="19.42578125" style="105" customWidth="1"/>
    <col min="8716" max="8716" width="19.85546875" style="105" customWidth="1"/>
    <col min="8717" max="8717" width="22.7109375" style="105" customWidth="1"/>
    <col min="8718" max="8718" width="23.7109375" style="105" customWidth="1"/>
    <col min="8719" max="8719" width="48.7109375" style="105" customWidth="1"/>
    <col min="8720" max="8720" width="37.5703125" style="105" customWidth="1"/>
    <col min="8721" max="8721" width="40.28515625" style="105" customWidth="1"/>
    <col min="8722" max="8722" width="37.85546875" style="105" customWidth="1"/>
    <col min="8723" max="8723" width="40.5703125" style="105" customWidth="1"/>
    <col min="8724" max="8724" width="58.7109375" style="105" customWidth="1"/>
    <col min="8725" max="8725" width="28.85546875" style="105" customWidth="1"/>
    <col min="8726" max="8726" width="14.85546875" style="105" customWidth="1"/>
    <col min="8727" max="8727" width="42.85546875" style="105" customWidth="1"/>
    <col min="8728" max="8728" width="35.5703125" style="105" customWidth="1"/>
    <col min="8729" max="8729" width="33.140625" style="105" customWidth="1"/>
    <col min="8730" max="8730" width="23.140625" style="105" customWidth="1"/>
    <col min="8731" max="8731" width="31.42578125" style="105" customWidth="1"/>
    <col min="8732" max="8732" width="29.42578125" style="105" customWidth="1"/>
    <col min="8733" max="8733" width="22.42578125" style="105" customWidth="1"/>
    <col min="8734" max="8734" width="20.28515625" style="105" customWidth="1"/>
    <col min="8735" max="8735" width="24" style="105" customWidth="1"/>
    <col min="8736" max="8736" width="33.5703125" style="105" customWidth="1"/>
    <col min="8737" max="8737" width="50" style="105" customWidth="1"/>
    <col min="8738" max="8738" width="50.5703125" style="105" customWidth="1"/>
    <col min="8739" max="8739" width="49.140625" style="105" customWidth="1"/>
    <col min="8740" max="8740" width="58.5703125" style="105" customWidth="1"/>
    <col min="8741" max="8741" width="59" style="105" customWidth="1"/>
    <col min="8742" max="8742" width="57.5703125" style="105" customWidth="1"/>
    <col min="8743" max="8743" width="58.7109375" style="105" customWidth="1"/>
    <col min="8744" max="8744" width="59.140625" style="105" customWidth="1"/>
    <col min="8745" max="8745" width="57.7109375" style="105" customWidth="1"/>
    <col min="8746" max="8746" width="20.5703125" style="105" customWidth="1"/>
    <col min="8747" max="8747" width="20.85546875" style="105" customWidth="1"/>
    <col min="8748" max="8748" width="26.5703125" style="105" customWidth="1"/>
    <col min="8749" max="8749" width="24" style="105" customWidth="1"/>
    <col min="8750" max="8750" width="22" style="105" customWidth="1"/>
    <col min="8751" max="8751" width="22.140625" style="105" customWidth="1"/>
    <col min="8752" max="8752" width="27.85546875" style="105" customWidth="1"/>
    <col min="8753" max="8753" width="40.5703125" style="105" customWidth="1"/>
    <col min="8754" max="8754" width="147.5703125" style="105" customWidth="1"/>
    <col min="8755" max="8960" width="9.140625" style="105"/>
    <col min="8961" max="8961" width="9.42578125" style="105" customWidth="1"/>
    <col min="8962" max="8962" width="83.140625" style="105" customWidth="1"/>
    <col min="8963" max="8963" width="31.28515625" style="105" customWidth="1"/>
    <col min="8964" max="8964" width="35.42578125" style="105" customWidth="1"/>
    <col min="8965" max="8965" width="86.42578125" style="105" customWidth="1"/>
    <col min="8966" max="8966" width="6" style="105" customWidth="1"/>
    <col min="8967" max="8967" width="6.28515625" style="105" customWidth="1"/>
    <col min="8968" max="8968" width="18.7109375" style="105" customWidth="1"/>
    <col min="8969" max="8969" width="46.7109375" style="105" customWidth="1"/>
    <col min="8970" max="8970" width="17.85546875" style="105" customWidth="1"/>
    <col min="8971" max="8971" width="19.42578125" style="105" customWidth="1"/>
    <col min="8972" max="8972" width="19.85546875" style="105" customWidth="1"/>
    <col min="8973" max="8973" width="22.7109375" style="105" customWidth="1"/>
    <col min="8974" max="8974" width="23.7109375" style="105" customWidth="1"/>
    <col min="8975" max="8975" width="48.7109375" style="105" customWidth="1"/>
    <col min="8976" max="8976" width="37.5703125" style="105" customWidth="1"/>
    <col min="8977" max="8977" width="40.28515625" style="105" customWidth="1"/>
    <col min="8978" max="8978" width="37.85546875" style="105" customWidth="1"/>
    <col min="8979" max="8979" width="40.5703125" style="105" customWidth="1"/>
    <col min="8980" max="8980" width="58.7109375" style="105" customWidth="1"/>
    <col min="8981" max="8981" width="28.85546875" style="105" customWidth="1"/>
    <col min="8982" max="8982" width="14.85546875" style="105" customWidth="1"/>
    <col min="8983" max="8983" width="42.85546875" style="105" customWidth="1"/>
    <col min="8984" max="8984" width="35.5703125" style="105" customWidth="1"/>
    <col min="8985" max="8985" width="33.140625" style="105" customWidth="1"/>
    <col min="8986" max="8986" width="23.140625" style="105" customWidth="1"/>
    <col min="8987" max="8987" width="31.42578125" style="105" customWidth="1"/>
    <col min="8988" max="8988" width="29.42578125" style="105" customWidth="1"/>
    <col min="8989" max="8989" width="22.42578125" style="105" customWidth="1"/>
    <col min="8990" max="8990" width="20.28515625" style="105" customWidth="1"/>
    <col min="8991" max="8991" width="24" style="105" customWidth="1"/>
    <col min="8992" max="8992" width="33.5703125" style="105" customWidth="1"/>
    <col min="8993" max="8993" width="50" style="105" customWidth="1"/>
    <col min="8994" max="8994" width="50.5703125" style="105" customWidth="1"/>
    <col min="8995" max="8995" width="49.140625" style="105" customWidth="1"/>
    <col min="8996" max="8996" width="58.5703125" style="105" customWidth="1"/>
    <col min="8997" max="8997" width="59" style="105" customWidth="1"/>
    <col min="8998" max="8998" width="57.5703125" style="105" customWidth="1"/>
    <col min="8999" max="8999" width="58.7109375" style="105" customWidth="1"/>
    <col min="9000" max="9000" width="59.140625" style="105" customWidth="1"/>
    <col min="9001" max="9001" width="57.7109375" style="105" customWidth="1"/>
    <col min="9002" max="9002" width="20.5703125" style="105" customWidth="1"/>
    <col min="9003" max="9003" width="20.85546875" style="105" customWidth="1"/>
    <col min="9004" max="9004" width="26.5703125" style="105" customWidth="1"/>
    <col min="9005" max="9005" width="24" style="105" customWidth="1"/>
    <col min="9006" max="9006" width="22" style="105" customWidth="1"/>
    <col min="9007" max="9007" width="22.140625" style="105" customWidth="1"/>
    <col min="9008" max="9008" width="27.85546875" style="105" customWidth="1"/>
    <col min="9009" max="9009" width="40.5703125" style="105" customWidth="1"/>
    <col min="9010" max="9010" width="147.5703125" style="105" customWidth="1"/>
    <col min="9011" max="9216" width="9.140625" style="105"/>
    <col min="9217" max="9217" width="9.42578125" style="105" customWidth="1"/>
    <col min="9218" max="9218" width="83.140625" style="105" customWidth="1"/>
    <col min="9219" max="9219" width="31.28515625" style="105" customWidth="1"/>
    <col min="9220" max="9220" width="35.42578125" style="105" customWidth="1"/>
    <col min="9221" max="9221" width="86.42578125" style="105" customWidth="1"/>
    <col min="9222" max="9222" width="6" style="105" customWidth="1"/>
    <col min="9223" max="9223" width="6.28515625" style="105" customWidth="1"/>
    <col min="9224" max="9224" width="18.7109375" style="105" customWidth="1"/>
    <col min="9225" max="9225" width="46.7109375" style="105" customWidth="1"/>
    <col min="9226" max="9226" width="17.85546875" style="105" customWidth="1"/>
    <col min="9227" max="9227" width="19.42578125" style="105" customWidth="1"/>
    <col min="9228" max="9228" width="19.85546875" style="105" customWidth="1"/>
    <col min="9229" max="9229" width="22.7109375" style="105" customWidth="1"/>
    <col min="9230" max="9230" width="23.7109375" style="105" customWidth="1"/>
    <col min="9231" max="9231" width="48.7109375" style="105" customWidth="1"/>
    <col min="9232" max="9232" width="37.5703125" style="105" customWidth="1"/>
    <col min="9233" max="9233" width="40.28515625" style="105" customWidth="1"/>
    <col min="9234" max="9234" width="37.85546875" style="105" customWidth="1"/>
    <col min="9235" max="9235" width="40.5703125" style="105" customWidth="1"/>
    <col min="9236" max="9236" width="58.7109375" style="105" customWidth="1"/>
    <col min="9237" max="9237" width="28.85546875" style="105" customWidth="1"/>
    <col min="9238" max="9238" width="14.85546875" style="105" customWidth="1"/>
    <col min="9239" max="9239" width="42.85546875" style="105" customWidth="1"/>
    <col min="9240" max="9240" width="35.5703125" style="105" customWidth="1"/>
    <col min="9241" max="9241" width="33.140625" style="105" customWidth="1"/>
    <col min="9242" max="9242" width="23.140625" style="105" customWidth="1"/>
    <col min="9243" max="9243" width="31.42578125" style="105" customWidth="1"/>
    <col min="9244" max="9244" width="29.42578125" style="105" customWidth="1"/>
    <col min="9245" max="9245" width="22.42578125" style="105" customWidth="1"/>
    <col min="9246" max="9246" width="20.28515625" style="105" customWidth="1"/>
    <col min="9247" max="9247" width="24" style="105" customWidth="1"/>
    <col min="9248" max="9248" width="33.5703125" style="105" customWidth="1"/>
    <col min="9249" max="9249" width="50" style="105" customWidth="1"/>
    <col min="9250" max="9250" width="50.5703125" style="105" customWidth="1"/>
    <col min="9251" max="9251" width="49.140625" style="105" customWidth="1"/>
    <col min="9252" max="9252" width="58.5703125" style="105" customWidth="1"/>
    <col min="9253" max="9253" width="59" style="105" customWidth="1"/>
    <col min="9254" max="9254" width="57.5703125" style="105" customWidth="1"/>
    <col min="9255" max="9255" width="58.7109375" style="105" customWidth="1"/>
    <col min="9256" max="9256" width="59.140625" style="105" customWidth="1"/>
    <col min="9257" max="9257" width="57.7109375" style="105" customWidth="1"/>
    <col min="9258" max="9258" width="20.5703125" style="105" customWidth="1"/>
    <col min="9259" max="9259" width="20.85546875" style="105" customWidth="1"/>
    <col min="9260" max="9260" width="26.5703125" style="105" customWidth="1"/>
    <col min="9261" max="9261" width="24" style="105" customWidth="1"/>
    <col min="9262" max="9262" width="22" style="105" customWidth="1"/>
    <col min="9263" max="9263" width="22.140625" style="105" customWidth="1"/>
    <col min="9264" max="9264" width="27.85546875" style="105" customWidth="1"/>
    <col min="9265" max="9265" width="40.5703125" style="105" customWidth="1"/>
    <col min="9266" max="9266" width="147.5703125" style="105" customWidth="1"/>
    <col min="9267" max="9472" width="9.140625" style="105"/>
    <col min="9473" max="9473" width="9.42578125" style="105" customWidth="1"/>
    <col min="9474" max="9474" width="83.140625" style="105" customWidth="1"/>
    <col min="9475" max="9475" width="31.28515625" style="105" customWidth="1"/>
    <col min="9476" max="9476" width="35.42578125" style="105" customWidth="1"/>
    <col min="9477" max="9477" width="86.42578125" style="105" customWidth="1"/>
    <col min="9478" max="9478" width="6" style="105" customWidth="1"/>
    <col min="9479" max="9479" width="6.28515625" style="105" customWidth="1"/>
    <col min="9480" max="9480" width="18.7109375" style="105" customWidth="1"/>
    <col min="9481" max="9481" width="46.7109375" style="105" customWidth="1"/>
    <col min="9482" max="9482" width="17.85546875" style="105" customWidth="1"/>
    <col min="9483" max="9483" width="19.42578125" style="105" customWidth="1"/>
    <col min="9484" max="9484" width="19.85546875" style="105" customWidth="1"/>
    <col min="9485" max="9485" width="22.7109375" style="105" customWidth="1"/>
    <col min="9486" max="9486" width="23.7109375" style="105" customWidth="1"/>
    <col min="9487" max="9487" width="48.7109375" style="105" customWidth="1"/>
    <col min="9488" max="9488" width="37.5703125" style="105" customWidth="1"/>
    <col min="9489" max="9489" width="40.28515625" style="105" customWidth="1"/>
    <col min="9490" max="9490" width="37.85546875" style="105" customWidth="1"/>
    <col min="9491" max="9491" width="40.5703125" style="105" customWidth="1"/>
    <col min="9492" max="9492" width="58.7109375" style="105" customWidth="1"/>
    <col min="9493" max="9493" width="28.85546875" style="105" customWidth="1"/>
    <col min="9494" max="9494" width="14.85546875" style="105" customWidth="1"/>
    <col min="9495" max="9495" width="42.85546875" style="105" customWidth="1"/>
    <col min="9496" max="9496" width="35.5703125" style="105" customWidth="1"/>
    <col min="9497" max="9497" width="33.140625" style="105" customWidth="1"/>
    <col min="9498" max="9498" width="23.140625" style="105" customWidth="1"/>
    <col min="9499" max="9499" width="31.42578125" style="105" customWidth="1"/>
    <col min="9500" max="9500" width="29.42578125" style="105" customWidth="1"/>
    <col min="9501" max="9501" width="22.42578125" style="105" customWidth="1"/>
    <col min="9502" max="9502" width="20.28515625" style="105" customWidth="1"/>
    <col min="9503" max="9503" width="24" style="105" customWidth="1"/>
    <col min="9504" max="9504" width="33.5703125" style="105" customWidth="1"/>
    <col min="9505" max="9505" width="50" style="105" customWidth="1"/>
    <col min="9506" max="9506" width="50.5703125" style="105" customWidth="1"/>
    <col min="9507" max="9507" width="49.140625" style="105" customWidth="1"/>
    <col min="9508" max="9508" width="58.5703125" style="105" customWidth="1"/>
    <col min="9509" max="9509" width="59" style="105" customWidth="1"/>
    <col min="9510" max="9510" width="57.5703125" style="105" customWidth="1"/>
    <col min="9511" max="9511" width="58.7109375" style="105" customWidth="1"/>
    <col min="9512" max="9512" width="59.140625" style="105" customWidth="1"/>
    <col min="9513" max="9513" width="57.7109375" style="105" customWidth="1"/>
    <col min="9514" max="9514" width="20.5703125" style="105" customWidth="1"/>
    <col min="9515" max="9515" width="20.85546875" style="105" customWidth="1"/>
    <col min="9516" max="9516" width="26.5703125" style="105" customWidth="1"/>
    <col min="9517" max="9517" width="24" style="105" customWidth="1"/>
    <col min="9518" max="9518" width="22" style="105" customWidth="1"/>
    <col min="9519" max="9519" width="22.140625" style="105" customWidth="1"/>
    <col min="9520" max="9520" width="27.85546875" style="105" customWidth="1"/>
    <col min="9521" max="9521" width="40.5703125" style="105" customWidth="1"/>
    <col min="9522" max="9522" width="147.5703125" style="105" customWidth="1"/>
    <col min="9523" max="9728" width="9.140625" style="105"/>
    <col min="9729" max="9729" width="9.42578125" style="105" customWidth="1"/>
    <col min="9730" max="9730" width="83.140625" style="105" customWidth="1"/>
    <col min="9731" max="9731" width="31.28515625" style="105" customWidth="1"/>
    <col min="9732" max="9732" width="35.42578125" style="105" customWidth="1"/>
    <col min="9733" max="9733" width="86.42578125" style="105" customWidth="1"/>
    <col min="9734" max="9734" width="6" style="105" customWidth="1"/>
    <col min="9735" max="9735" width="6.28515625" style="105" customWidth="1"/>
    <col min="9736" max="9736" width="18.7109375" style="105" customWidth="1"/>
    <col min="9737" max="9737" width="46.7109375" style="105" customWidth="1"/>
    <col min="9738" max="9738" width="17.85546875" style="105" customWidth="1"/>
    <col min="9739" max="9739" width="19.42578125" style="105" customWidth="1"/>
    <col min="9740" max="9740" width="19.85546875" style="105" customWidth="1"/>
    <col min="9741" max="9741" width="22.7109375" style="105" customWidth="1"/>
    <col min="9742" max="9742" width="23.7109375" style="105" customWidth="1"/>
    <col min="9743" max="9743" width="48.7109375" style="105" customWidth="1"/>
    <col min="9744" max="9744" width="37.5703125" style="105" customWidth="1"/>
    <col min="9745" max="9745" width="40.28515625" style="105" customWidth="1"/>
    <col min="9746" max="9746" width="37.85546875" style="105" customWidth="1"/>
    <col min="9747" max="9747" width="40.5703125" style="105" customWidth="1"/>
    <col min="9748" max="9748" width="58.7109375" style="105" customWidth="1"/>
    <col min="9749" max="9749" width="28.85546875" style="105" customWidth="1"/>
    <col min="9750" max="9750" width="14.85546875" style="105" customWidth="1"/>
    <col min="9751" max="9751" width="42.85546875" style="105" customWidth="1"/>
    <col min="9752" max="9752" width="35.5703125" style="105" customWidth="1"/>
    <col min="9753" max="9753" width="33.140625" style="105" customWidth="1"/>
    <col min="9754" max="9754" width="23.140625" style="105" customWidth="1"/>
    <col min="9755" max="9755" width="31.42578125" style="105" customWidth="1"/>
    <col min="9756" max="9756" width="29.42578125" style="105" customWidth="1"/>
    <col min="9757" max="9757" width="22.42578125" style="105" customWidth="1"/>
    <col min="9758" max="9758" width="20.28515625" style="105" customWidth="1"/>
    <col min="9759" max="9759" width="24" style="105" customWidth="1"/>
    <col min="9760" max="9760" width="33.5703125" style="105" customWidth="1"/>
    <col min="9761" max="9761" width="50" style="105" customWidth="1"/>
    <col min="9762" max="9762" width="50.5703125" style="105" customWidth="1"/>
    <col min="9763" max="9763" width="49.140625" style="105" customWidth="1"/>
    <col min="9764" max="9764" width="58.5703125" style="105" customWidth="1"/>
    <col min="9765" max="9765" width="59" style="105" customWidth="1"/>
    <col min="9766" max="9766" width="57.5703125" style="105" customWidth="1"/>
    <col min="9767" max="9767" width="58.7109375" style="105" customWidth="1"/>
    <col min="9768" max="9768" width="59.140625" style="105" customWidth="1"/>
    <col min="9769" max="9769" width="57.7109375" style="105" customWidth="1"/>
    <col min="9770" max="9770" width="20.5703125" style="105" customWidth="1"/>
    <col min="9771" max="9771" width="20.85546875" style="105" customWidth="1"/>
    <col min="9772" max="9772" width="26.5703125" style="105" customWidth="1"/>
    <col min="9773" max="9773" width="24" style="105" customWidth="1"/>
    <col min="9774" max="9774" width="22" style="105" customWidth="1"/>
    <col min="9775" max="9775" width="22.140625" style="105" customWidth="1"/>
    <col min="9776" max="9776" width="27.85546875" style="105" customWidth="1"/>
    <col min="9777" max="9777" width="40.5703125" style="105" customWidth="1"/>
    <col min="9778" max="9778" width="147.5703125" style="105" customWidth="1"/>
    <col min="9779" max="9984" width="9.140625" style="105"/>
    <col min="9985" max="9985" width="9.42578125" style="105" customWidth="1"/>
    <col min="9986" max="9986" width="83.140625" style="105" customWidth="1"/>
    <col min="9987" max="9987" width="31.28515625" style="105" customWidth="1"/>
    <col min="9988" max="9988" width="35.42578125" style="105" customWidth="1"/>
    <col min="9989" max="9989" width="86.42578125" style="105" customWidth="1"/>
    <col min="9990" max="9990" width="6" style="105" customWidth="1"/>
    <col min="9991" max="9991" width="6.28515625" style="105" customWidth="1"/>
    <col min="9992" max="9992" width="18.7109375" style="105" customWidth="1"/>
    <col min="9993" max="9993" width="46.7109375" style="105" customWidth="1"/>
    <col min="9994" max="9994" width="17.85546875" style="105" customWidth="1"/>
    <col min="9995" max="9995" width="19.42578125" style="105" customWidth="1"/>
    <col min="9996" max="9996" width="19.85546875" style="105" customWidth="1"/>
    <col min="9997" max="9997" width="22.7109375" style="105" customWidth="1"/>
    <col min="9998" max="9998" width="23.7109375" style="105" customWidth="1"/>
    <col min="9999" max="9999" width="48.7109375" style="105" customWidth="1"/>
    <col min="10000" max="10000" width="37.5703125" style="105" customWidth="1"/>
    <col min="10001" max="10001" width="40.28515625" style="105" customWidth="1"/>
    <col min="10002" max="10002" width="37.85546875" style="105" customWidth="1"/>
    <col min="10003" max="10003" width="40.5703125" style="105" customWidth="1"/>
    <col min="10004" max="10004" width="58.7109375" style="105" customWidth="1"/>
    <col min="10005" max="10005" width="28.85546875" style="105" customWidth="1"/>
    <col min="10006" max="10006" width="14.85546875" style="105" customWidth="1"/>
    <col min="10007" max="10007" width="42.85546875" style="105" customWidth="1"/>
    <col min="10008" max="10008" width="35.5703125" style="105" customWidth="1"/>
    <col min="10009" max="10009" width="33.140625" style="105" customWidth="1"/>
    <col min="10010" max="10010" width="23.140625" style="105" customWidth="1"/>
    <col min="10011" max="10011" width="31.42578125" style="105" customWidth="1"/>
    <col min="10012" max="10012" width="29.42578125" style="105" customWidth="1"/>
    <col min="10013" max="10013" width="22.42578125" style="105" customWidth="1"/>
    <col min="10014" max="10014" width="20.28515625" style="105" customWidth="1"/>
    <col min="10015" max="10015" width="24" style="105" customWidth="1"/>
    <col min="10016" max="10016" width="33.5703125" style="105" customWidth="1"/>
    <col min="10017" max="10017" width="50" style="105" customWidth="1"/>
    <col min="10018" max="10018" width="50.5703125" style="105" customWidth="1"/>
    <col min="10019" max="10019" width="49.140625" style="105" customWidth="1"/>
    <col min="10020" max="10020" width="58.5703125" style="105" customWidth="1"/>
    <col min="10021" max="10021" width="59" style="105" customWidth="1"/>
    <col min="10022" max="10022" width="57.5703125" style="105" customWidth="1"/>
    <col min="10023" max="10023" width="58.7109375" style="105" customWidth="1"/>
    <col min="10024" max="10024" width="59.140625" style="105" customWidth="1"/>
    <col min="10025" max="10025" width="57.7109375" style="105" customWidth="1"/>
    <col min="10026" max="10026" width="20.5703125" style="105" customWidth="1"/>
    <col min="10027" max="10027" width="20.85546875" style="105" customWidth="1"/>
    <col min="10028" max="10028" width="26.5703125" style="105" customWidth="1"/>
    <col min="10029" max="10029" width="24" style="105" customWidth="1"/>
    <col min="10030" max="10030" width="22" style="105" customWidth="1"/>
    <col min="10031" max="10031" width="22.140625" style="105" customWidth="1"/>
    <col min="10032" max="10032" width="27.85546875" style="105" customWidth="1"/>
    <col min="10033" max="10033" width="40.5703125" style="105" customWidth="1"/>
    <col min="10034" max="10034" width="147.5703125" style="105" customWidth="1"/>
    <col min="10035" max="10240" width="9.140625" style="105"/>
    <col min="10241" max="10241" width="9.42578125" style="105" customWidth="1"/>
    <col min="10242" max="10242" width="83.140625" style="105" customWidth="1"/>
    <col min="10243" max="10243" width="31.28515625" style="105" customWidth="1"/>
    <col min="10244" max="10244" width="35.42578125" style="105" customWidth="1"/>
    <col min="10245" max="10245" width="86.42578125" style="105" customWidth="1"/>
    <col min="10246" max="10246" width="6" style="105" customWidth="1"/>
    <col min="10247" max="10247" width="6.28515625" style="105" customWidth="1"/>
    <col min="10248" max="10248" width="18.7109375" style="105" customWidth="1"/>
    <col min="10249" max="10249" width="46.7109375" style="105" customWidth="1"/>
    <col min="10250" max="10250" width="17.85546875" style="105" customWidth="1"/>
    <col min="10251" max="10251" width="19.42578125" style="105" customWidth="1"/>
    <col min="10252" max="10252" width="19.85546875" style="105" customWidth="1"/>
    <col min="10253" max="10253" width="22.7109375" style="105" customWidth="1"/>
    <col min="10254" max="10254" width="23.7109375" style="105" customWidth="1"/>
    <col min="10255" max="10255" width="48.7109375" style="105" customWidth="1"/>
    <col min="10256" max="10256" width="37.5703125" style="105" customWidth="1"/>
    <col min="10257" max="10257" width="40.28515625" style="105" customWidth="1"/>
    <col min="10258" max="10258" width="37.85546875" style="105" customWidth="1"/>
    <col min="10259" max="10259" width="40.5703125" style="105" customWidth="1"/>
    <col min="10260" max="10260" width="58.7109375" style="105" customWidth="1"/>
    <col min="10261" max="10261" width="28.85546875" style="105" customWidth="1"/>
    <col min="10262" max="10262" width="14.85546875" style="105" customWidth="1"/>
    <col min="10263" max="10263" width="42.85546875" style="105" customWidth="1"/>
    <col min="10264" max="10264" width="35.5703125" style="105" customWidth="1"/>
    <col min="10265" max="10265" width="33.140625" style="105" customWidth="1"/>
    <col min="10266" max="10266" width="23.140625" style="105" customWidth="1"/>
    <col min="10267" max="10267" width="31.42578125" style="105" customWidth="1"/>
    <col min="10268" max="10268" width="29.42578125" style="105" customWidth="1"/>
    <col min="10269" max="10269" width="22.42578125" style="105" customWidth="1"/>
    <col min="10270" max="10270" width="20.28515625" style="105" customWidth="1"/>
    <col min="10271" max="10271" width="24" style="105" customWidth="1"/>
    <col min="10272" max="10272" width="33.5703125" style="105" customWidth="1"/>
    <col min="10273" max="10273" width="50" style="105" customWidth="1"/>
    <col min="10274" max="10274" width="50.5703125" style="105" customWidth="1"/>
    <col min="10275" max="10275" width="49.140625" style="105" customWidth="1"/>
    <col min="10276" max="10276" width="58.5703125" style="105" customWidth="1"/>
    <col min="10277" max="10277" width="59" style="105" customWidth="1"/>
    <col min="10278" max="10278" width="57.5703125" style="105" customWidth="1"/>
    <col min="10279" max="10279" width="58.7109375" style="105" customWidth="1"/>
    <col min="10280" max="10280" width="59.140625" style="105" customWidth="1"/>
    <col min="10281" max="10281" width="57.7109375" style="105" customWidth="1"/>
    <col min="10282" max="10282" width="20.5703125" style="105" customWidth="1"/>
    <col min="10283" max="10283" width="20.85546875" style="105" customWidth="1"/>
    <col min="10284" max="10284" width="26.5703125" style="105" customWidth="1"/>
    <col min="10285" max="10285" width="24" style="105" customWidth="1"/>
    <col min="10286" max="10286" width="22" style="105" customWidth="1"/>
    <col min="10287" max="10287" width="22.140625" style="105" customWidth="1"/>
    <col min="10288" max="10288" width="27.85546875" style="105" customWidth="1"/>
    <col min="10289" max="10289" width="40.5703125" style="105" customWidth="1"/>
    <col min="10290" max="10290" width="147.5703125" style="105" customWidth="1"/>
    <col min="10291" max="10496" width="9.140625" style="105"/>
    <col min="10497" max="10497" width="9.42578125" style="105" customWidth="1"/>
    <col min="10498" max="10498" width="83.140625" style="105" customWidth="1"/>
    <col min="10499" max="10499" width="31.28515625" style="105" customWidth="1"/>
    <col min="10500" max="10500" width="35.42578125" style="105" customWidth="1"/>
    <col min="10501" max="10501" width="86.42578125" style="105" customWidth="1"/>
    <col min="10502" max="10502" width="6" style="105" customWidth="1"/>
    <col min="10503" max="10503" width="6.28515625" style="105" customWidth="1"/>
    <col min="10504" max="10504" width="18.7109375" style="105" customWidth="1"/>
    <col min="10505" max="10505" width="46.7109375" style="105" customWidth="1"/>
    <col min="10506" max="10506" width="17.85546875" style="105" customWidth="1"/>
    <col min="10507" max="10507" width="19.42578125" style="105" customWidth="1"/>
    <col min="10508" max="10508" width="19.85546875" style="105" customWidth="1"/>
    <col min="10509" max="10509" width="22.7109375" style="105" customWidth="1"/>
    <col min="10510" max="10510" width="23.7109375" style="105" customWidth="1"/>
    <col min="10511" max="10511" width="48.7109375" style="105" customWidth="1"/>
    <col min="10512" max="10512" width="37.5703125" style="105" customWidth="1"/>
    <col min="10513" max="10513" width="40.28515625" style="105" customWidth="1"/>
    <col min="10514" max="10514" width="37.85546875" style="105" customWidth="1"/>
    <col min="10515" max="10515" width="40.5703125" style="105" customWidth="1"/>
    <col min="10516" max="10516" width="58.7109375" style="105" customWidth="1"/>
    <col min="10517" max="10517" width="28.85546875" style="105" customWidth="1"/>
    <col min="10518" max="10518" width="14.85546875" style="105" customWidth="1"/>
    <col min="10519" max="10519" width="42.85546875" style="105" customWidth="1"/>
    <col min="10520" max="10520" width="35.5703125" style="105" customWidth="1"/>
    <col min="10521" max="10521" width="33.140625" style="105" customWidth="1"/>
    <col min="10522" max="10522" width="23.140625" style="105" customWidth="1"/>
    <col min="10523" max="10523" width="31.42578125" style="105" customWidth="1"/>
    <col min="10524" max="10524" width="29.42578125" style="105" customWidth="1"/>
    <col min="10525" max="10525" width="22.42578125" style="105" customWidth="1"/>
    <col min="10526" max="10526" width="20.28515625" style="105" customWidth="1"/>
    <col min="10527" max="10527" width="24" style="105" customWidth="1"/>
    <col min="10528" max="10528" width="33.5703125" style="105" customWidth="1"/>
    <col min="10529" max="10529" width="50" style="105" customWidth="1"/>
    <col min="10530" max="10530" width="50.5703125" style="105" customWidth="1"/>
    <col min="10531" max="10531" width="49.140625" style="105" customWidth="1"/>
    <col min="10532" max="10532" width="58.5703125" style="105" customWidth="1"/>
    <col min="10533" max="10533" width="59" style="105" customWidth="1"/>
    <col min="10534" max="10534" width="57.5703125" style="105" customWidth="1"/>
    <col min="10535" max="10535" width="58.7109375" style="105" customWidth="1"/>
    <col min="10536" max="10536" width="59.140625" style="105" customWidth="1"/>
    <col min="10537" max="10537" width="57.7109375" style="105" customWidth="1"/>
    <col min="10538" max="10538" width="20.5703125" style="105" customWidth="1"/>
    <col min="10539" max="10539" width="20.85546875" style="105" customWidth="1"/>
    <col min="10540" max="10540" width="26.5703125" style="105" customWidth="1"/>
    <col min="10541" max="10541" width="24" style="105" customWidth="1"/>
    <col min="10542" max="10542" width="22" style="105" customWidth="1"/>
    <col min="10543" max="10543" width="22.140625" style="105" customWidth="1"/>
    <col min="10544" max="10544" width="27.85546875" style="105" customWidth="1"/>
    <col min="10545" max="10545" width="40.5703125" style="105" customWidth="1"/>
    <col min="10546" max="10546" width="147.5703125" style="105" customWidth="1"/>
    <col min="10547" max="10752" width="9.140625" style="105"/>
    <col min="10753" max="10753" width="9.42578125" style="105" customWidth="1"/>
    <col min="10754" max="10754" width="83.140625" style="105" customWidth="1"/>
    <col min="10755" max="10755" width="31.28515625" style="105" customWidth="1"/>
    <col min="10756" max="10756" width="35.42578125" style="105" customWidth="1"/>
    <col min="10757" max="10757" width="86.42578125" style="105" customWidth="1"/>
    <col min="10758" max="10758" width="6" style="105" customWidth="1"/>
    <col min="10759" max="10759" width="6.28515625" style="105" customWidth="1"/>
    <col min="10760" max="10760" width="18.7109375" style="105" customWidth="1"/>
    <col min="10761" max="10761" width="46.7109375" style="105" customWidth="1"/>
    <col min="10762" max="10762" width="17.85546875" style="105" customWidth="1"/>
    <col min="10763" max="10763" width="19.42578125" style="105" customWidth="1"/>
    <col min="10764" max="10764" width="19.85546875" style="105" customWidth="1"/>
    <col min="10765" max="10765" width="22.7109375" style="105" customWidth="1"/>
    <col min="10766" max="10766" width="23.7109375" style="105" customWidth="1"/>
    <col min="10767" max="10767" width="48.7109375" style="105" customWidth="1"/>
    <col min="10768" max="10768" width="37.5703125" style="105" customWidth="1"/>
    <col min="10769" max="10769" width="40.28515625" style="105" customWidth="1"/>
    <col min="10770" max="10770" width="37.85546875" style="105" customWidth="1"/>
    <col min="10771" max="10771" width="40.5703125" style="105" customWidth="1"/>
    <col min="10772" max="10772" width="58.7109375" style="105" customWidth="1"/>
    <col min="10773" max="10773" width="28.85546875" style="105" customWidth="1"/>
    <col min="10774" max="10774" width="14.85546875" style="105" customWidth="1"/>
    <col min="10775" max="10775" width="42.85546875" style="105" customWidth="1"/>
    <col min="10776" max="10776" width="35.5703125" style="105" customWidth="1"/>
    <col min="10777" max="10777" width="33.140625" style="105" customWidth="1"/>
    <col min="10778" max="10778" width="23.140625" style="105" customWidth="1"/>
    <col min="10779" max="10779" width="31.42578125" style="105" customWidth="1"/>
    <col min="10780" max="10780" width="29.42578125" style="105" customWidth="1"/>
    <col min="10781" max="10781" width="22.42578125" style="105" customWidth="1"/>
    <col min="10782" max="10782" width="20.28515625" style="105" customWidth="1"/>
    <col min="10783" max="10783" width="24" style="105" customWidth="1"/>
    <col min="10784" max="10784" width="33.5703125" style="105" customWidth="1"/>
    <col min="10785" max="10785" width="50" style="105" customWidth="1"/>
    <col min="10786" max="10786" width="50.5703125" style="105" customWidth="1"/>
    <col min="10787" max="10787" width="49.140625" style="105" customWidth="1"/>
    <col min="10788" max="10788" width="58.5703125" style="105" customWidth="1"/>
    <col min="10789" max="10789" width="59" style="105" customWidth="1"/>
    <col min="10790" max="10790" width="57.5703125" style="105" customWidth="1"/>
    <col min="10791" max="10791" width="58.7109375" style="105" customWidth="1"/>
    <col min="10792" max="10792" width="59.140625" style="105" customWidth="1"/>
    <col min="10793" max="10793" width="57.7109375" style="105" customWidth="1"/>
    <col min="10794" max="10794" width="20.5703125" style="105" customWidth="1"/>
    <col min="10795" max="10795" width="20.85546875" style="105" customWidth="1"/>
    <col min="10796" max="10796" width="26.5703125" style="105" customWidth="1"/>
    <col min="10797" max="10797" width="24" style="105" customWidth="1"/>
    <col min="10798" max="10798" width="22" style="105" customWidth="1"/>
    <col min="10799" max="10799" width="22.140625" style="105" customWidth="1"/>
    <col min="10800" max="10800" width="27.85546875" style="105" customWidth="1"/>
    <col min="10801" max="10801" width="40.5703125" style="105" customWidth="1"/>
    <col min="10802" max="10802" width="147.5703125" style="105" customWidth="1"/>
    <col min="10803" max="11008" width="9.140625" style="105"/>
    <col min="11009" max="11009" width="9.42578125" style="105" customWidth="1"/>
    <col min="11010" max="11010" width="83.140625" style="105" customWidth="1"/>
    <col min="11011" max="11011" width="31.28515625" style="105" customWidth="1"/>
    <col min="11012" max="11012" width="35.42578125" style="105" customWidth="1"/>
    <col min="11013" max="11013" width="86.42578125" style="105" customWidth="1"/>
    <col min="11014" max="11014" width="6" style="105" customWidth="1"/>
    <col min="11015" max="11015" width="6.28515625" style="105" customWidth="1"/>
    <col min="11016" max="11016" width="18.7109375" style="105" customWidth="1"/>
    <col min="11017" max="11017" width="46.7109375" style="105" customWidth="1"/>
    <col min="11018" max="11018" width="17.85546875" style="105" customWidth="1"/>
    <col min="11019" max="11019" width="19.42578125" style="105" customWidth="1"/>
    <col min="11020" max="11020" width="19.85546875" style="105" customWidth="1"/>
    <col min="11021" max="11021" width="22.7109375" style="105" customWidth="1"/>
    <col min="11022" max="11022" width="23.7109375" style="105" customWidth="1"/>
    <col min="11023" max="11023" width="48.7109375" style="105" customWidth="1"/>
    <col min="11024" max="11024" width="37.5703125" style="105" customWidth="1"/>
    <col min="11025" max="11025" width="40.28515625" style="105" customWidth="1"/>
    <col min="11026" max="11026" width="37.85546875" style="105" customWidth="1"/>
    <col min="11027" max="11027" width="40.5703125" style="105" customWidth="1"/>
    <col min="11028" max="11028" width="58.7109375" style="105" customWidth="1"/>
    <col min="11029" max="11029" width="28.85546875" style="105" customWidth="1"/>
    <col min="11030" max="11030" width="14.85546875" style="105" customWidth="1"/>
    <col min="11031" max="11031" width="42.85546875" style="105" customWidth="1"/>
    <col min="11032" max="11032" width="35.5703125" style="105" customWidth="1"/>
    <col min="11033" max="11033" width="33.140625" style="105" customWidth="1"/>
    <col min="11034" max="11034" width="23.140625" style="105" customWidth="1"/>
    <col min="11035" max="11035" width="31.42578125" style="105" customWidth="1"/>
    <col min="11036" max="11036" width="29.42578125" style="105" customWidth="1"/>
    <col min="11037" max="11037" width="22.42578125" style="105" customWidth="1"/>
    <col min="11038" max="11038" width="20.28515625" style="105" customWidth="1"/>
    <col min="11039" max="11039" width="24" style="105" customWidth="1"/>
    <col min="11040" max="11040" width="33.5703125" style="105" customWidth="1"/>
    <col min="11041" max="11041" width="50" style="105" customWidth="1"/>
    <col min="11042" max="11042" width="50.5703125" style="105" customWidth="1"/>
    <col min="11043" max="11043" width="49.140625" style="105" customWidth="1"/>
    <col min="11044" max="11044" width="58.5703125" style="105" customWidth="1"/>
    <col min="11045" max="11045" width="59" style="105" customWidth="1"/>
    <col min="11046" max="11046" width="57.5703125" style="105" customWidth="1"/>
    <col min="11047" max="11047" width="58.7109375" style="105" customWidth="1"/>
    <col min="11048" max="11048" width="59.140625" style="105" customWidth="1"/>
    <col min="11049" max="11049" width="57.7109375" style="105" customWidth="1"/>
    <col min="11050" max="11050" width="20.5703125" style="105" customWidth="1"/>
    <col min="11051" max="11051" width="20.85546875" style="105" customWidth="1"/>
    <col min="11052" max="11052" width="26.5703125" style="105" customWidth="1"/>
    <col min="11053" max="11053" width="24" style="105" customWidth="1"/>
    <col min="11054" max="11054" width="22" style="105" customWidth="1"/>
    <col min="11055" max="11055" width="22.140625" style="105" customWidth="1"/>
    <col min="11056" max="11056" width="27.85546875" style="105" customWidth="1"/>
    <col min="11057" max="11057" width="40.5703125" style="105" customWidth="1"/>
    <col min="11058" max="11058" width="147.5703125" style="105" customWidth="1"/>
    <col min="11059" max="11264" width="9.140625" style="105"/>
    <col min="11265" max="11265" width="9.42578125" style="105" customWidth="1"/>
    <col min="11266" max="11266" width="83.140625" style="105" customWidth="1"/>
    <col min="11267" max="11267" width="31.28515625" style="105" customWidth="1"/>
    <col min="11268" max="11268" width="35.42578125" style="105" customWidth="1"/>
    <col min="11269" max="11269" width="86.42578125" style="105" customWidth="1"/>
    <col min="11270" max="11270" width="6" style="105" customWidth="1"/>
    <col min="11271" max="11271" width="6.28515625" style="105" customWidth="1"/>
    <col min="11272" max="11272" width="18.7109375" style="105" customWidth="1"/>
    <col min="11273" max="11273" width="46.7109375" style="105" customWidth="1"/>
    <col min="11274" max="11274" width="17.85546875" style="105" customWidth="1"/>
    <col min="11275" max="11275" width="19.42578125" style="105" customWidth="1"/>
    <col min="11276" max="11276" width="19.85546875" style="105" customWidth="1"/>
    <col min="11277" max="11277" width="22.7109375" style="105" customWidth="1"/>
    <col min="11278" max="11278" width="23.7109375" style="105" customWidth="1"/>
    <col min="11279" max="11279" width="48.7109375" style="105" customWidth="1"/>
    <col min="11280" max="11280" width="37.5703125" style="105" customWidth="1"/>
    <col min="11281" max="11281" width="40.28515625" style="105" customWidth="1"/>
    <col min="11282" max="11282" width="37.85546875" style="105" customWidth="1"/>
    <col min="11283" max="11283" width="40.5703125" style="105" customWidth="1"/>
    <col min="11284" max="11284" width="58.7109375" style="105" customWidth="1"/>
    <col min="11285" max="11285" width="28.85546875" style="105" customWidth="1"/>
    <col min="11286" max="11286" width="14.85546875" style="105" customWidth="1"/>
    <col min="11287" max="11287" width="42.85546875" style="105" customWidth="1"/>
    <col min="11288" max="11288" width="35.5703125" style="105" customWidth="1"/>
    <col min="11289" max="11289" width="33.140625" style="105" customWidth="1"/>
    <col min="11290" max="11290" width="23.140625" style="105" customWidth="1"/>
    <col min="11291" max="11291" width="31.42578125" style="105" customWidth="1"/>
    <col min="11292" max="11292" width="29.42578125" style="105" customWidth="1"/>
    <col min="11293" max="11293" width="22.42578125" style="105" customWidth="1"/>
    <col min="11294" max="11294" width="20.28515625" style="105" customWidth="1"/>
    <col min="11295" max="11295" width="24" style="105" customWidth="1"/>
    <col min="11296" max="11296" width="33.5703125" style="105" customWidth="1"/>
    <col min="11297" max="11297" width="50" style="105" customWidth="1"/>
    <col min="11298" max="11298" width="50.5703125" style="105" customWidth="1"/>
    <col min="11299" max="11299" width="49.140625" style="105" customWidth="1"/>
    <col min="11300" max="11300" width="58.5703125" style="105" customWidth="1"/>
    <col min="11301" max="11301" width="59" style="105" customWidth="1"/>
    <col min="11302" max="11302" width="57.5703125" style="105" customWidth="1"/>
    <col min="11303" max="11303" width="58.7109375" style="105" customWidth="1"/>
    <col min="11304" max="11304" width="59.140625" style="105" customWidth="1"/>
    <col min="11305" max="11305" width="57.7109375" style="105" customWidth="1"/>
    <col min="11306" max="11306" width="20.5703125" style="105" customWidth="1"/>
    <col min="11307" max="11307" width="20.85546875" style="105" customWidth="1"/>
    <col min="11308" max="11308" width="26.5703125" style="105" customWidth="1"/>
    <col min="11309" max="11309" width="24" style="105" customWidth="1"/>
    <col min="11310" max="11310" width="22" style="105" customWidth="1"/>
    <col min="11311" max="11311" width="22.140625" style="105" customWidth="1"/>
    <col min="11312" max="11312" width="27.85546875" style="105" customWidth="1"/>
    <col min="11313" max="11313" width="40.5703125" style="105" customWidth="1"/>
    <col min="11314" max="11314" width="147.5703125" style="105" customWidth="1"/>
    <col min="11315" max="11520" width="9.140625" style="105"/>
    <col min="11521" max="11521" width="9.42578125" style="105" customWidth="1"/>
    <col min="11522" max="11522" width="83.140625" style="105" customWidth="1"/>
    <col min="11523" max="11523" width="31.28515625" style="105" customWidth="1"/>
    <col min="11524" max="11524" width="35.42578125" style="105" customWidth="1"/>
    <col min="11525" max="11525" width="86.42578125" style="105" customWidth="1"/>
    <col min="11526" max="11526" width="6" style="105" customWidth="1"/>
    <col min="11527" max="11527" width="6.28515625" style="105" customWidth="1"/>
    <col min="11528" max="11528" width="18.7109375" style="105" customWidth="1"/>
    <col min="11529" max="11529" width="46.7109375" style="105" customWidth="1"/>
    <col min="11530" max="11530" width="17.85546875" style="105" customWidth="1"/>
    <col min="11531" max="11531" width="19.42578125" style="105" customWidth="1"/>
    <col min="11532" max="11532" width="19.85546875" style="105" customWidth="1"/>
    <col min="11533" max="11533" width="22.7109375" style="105" customWidth="1"/>
    <col min="11534" max="11534" width="23.7109375" style="105" customWidth="1"/>
    <col min="11535" max="11535" width="48.7109375" style="105" customWidth="1"/>
    <col min="11536" max="11536" width="37.5703125" style="105" customWidth="1"/>
    <col min="11537" max="11537" width="40.28515625" style="105" customWidth="1"/>
    <col min="11538" max="11538" width="37.85546875" style="105" customWidth="1"/>
    <col min="11539" max="11539" width="40.5703125" style="105" customWidth="1"/>
    <col min="11540" max="11540" width="58.7109375" style="105" customWidth="1"/>
    <col min="11541" max="11541" width="28.85546875" style="105" customWidth="1"/>
    <col min="11542" max="11542" width="14.85546875" style="105" customWidth="1"/>
    <col min="11543" max="11543" width="42.85546875" style="105" customWidth="1"/>
    <col min="11544" max="11544" width="35.5703125" style="105" customWidth="1"/>
    <col min="11545" max="11545" width="33.140625" style="105" customWidth="1"/>
    <col min="11546" max="11546" width="23.140625" style="105" customWidth="1"/>
    <col min="11547" max="11547" width="31.42578125" style="105" customWidth="1"/>
    <col min="11548" max="11548" width="29.42578125" style="105" customWidth="1"/>
    <col min="11549" max="11549" width="22.42578125" style="105" customWidth="1"/>
    <col min="11550" max="11550" width="20.28515625" style="105" customWidth="1"/>
    <col min="11551" max="11551" width="24" style="105" customWidth="1"/>
    <col min="11552" max="11552" width="33.5703125" style="105" customWidth="1"/>
    <col min="11553" max="11553" width="50" style="105" customWidth="1"/>
    <col min="11554" max="11554" width="50.5703125" style="105" customWidth="1"/>
    <col min="11555" max="11555" width="49.140625" style="105" customWidth="1"/>
    <col min="11556" max="11556" width="58.5703125" style="105" customWidth="1"/>
    <col min="11557" max="11557" width="59" style="105" customWidth="1"/>
    <col min="11558" max="11558" width="57.5703125" style="105" customWidth="1"/>
    <col min="11559" max="11559" width="58.7109375" style="105" customWidth="1"/>
    <col min="11560" max="11560" width="59.140625" style="105" customWidth="1"/>
    <col min="11561" max="11561" width="57.7109375" style="105" customWidth="1"/>
    <col min="11562" max="11562" width="20.5703125" style="105" customWidth="1"/>
    <col min="11563" max="11563" width="20.85546875" style="105" customWidth="1"/>
    <col min="11564" max="11564" width="26.5703125" style="105" customWidth="1"/>
    <col min="11565" max="11565" width="24" style="105" customWidth="1"/>
    <col min="11566" max="11566" width="22" style="105" customWidth="1"/>
    <col min="11567" max="11567" width="22.140625" style="105" customWidth="1"/>
    <col min="11568" max="11568" width="27.85546875" style="105" customWidth="1"/>
    <col min="11569" max="11569" width="40.5703125" style="105" customWidth="1"/>
    <col min="11570" max="11570" width="147.5703125" style="105" customWidth="1"/>
    <col min="11571" max="11776" width="9.140625" style="105"/>
    <col min="11777" max="11777" width="9.42578125" style="105" customWidth="1"/>
    <col min="11778" max="11778" width="83.140625" style="105" customWidth="1"/>
    <col min="11779" max="11779" width="31.28515625" style="105" customWidth="1"/>
    <col min="11780" max="11780" width="35.42578125" style="105" customWidth="1"/>
    <col min="11781" max="11781" width="86.42578125" style="105" customWidth="1"/>
    <col min="11782" max="11782" width="6" style="105" customWidth="1"/>
    <col min="11783" max="11783" width="6.28515625" style="105" customWidth="1"/>
    <col min="11784" max="11784" width="18.7109375" style="105" customWidth="1"/>
    <col min="11785" max="11785" width="46.7109375" style="105" customWidth="1"/>
    <col min="11786" max="11786" width="17.85546875" style="105" customWidth="1"/>
    <col min="11787" max="11787" width="19.42578125" style="105" customWidth="1"/>
    <col min="11788" max="11788" width="19.85546875" style="105" customWidth="1"/>
    <col min="11789" max="11789" width="22.7109375" style="105" customWidth="1"/>
    <col min="11790" max="11790" width="23.7109375" style="105" customWidth="1"/>
    <col min="11791" max="11791" width="48.7109375" style="105" customWidth="1"/>
    <col min="11792" max="11792" width="37.5703125" style="105" customWidth="1"/>
    <col min="11793" max="11793" width="40.28515625" style="105" customWidth="1"/>
    <col min="11794" max="11794" width="37.85546875" style="105" customWidth="1"/>
    <col min="11795" max="11795" width="40.5703125" style="105" customWidth="1"/>
    <col min="11796" max="11796" width="58.7109375" style="105" customWidth="1"/>
    <col min="11797" max="11797" width="28.85546875" style="105" customWidth="1"/>
    <col min="11798" max="11798" width="14.85546875" style="105" customWidth="1"/>
    <col min="11799" max="11799" width="42.85546875" style="105" customWidth="1"/>
    <col min="11800" max="11800" width="35.5703125" style="105" customWidth="1"/>
    <col min="11801" max="11801" width="33.140625" style="105" customWidth="1"/>
    <col min="11802" max="11802" width="23.140625" style="105" customWidth="1"/>
    <col min="11803" max="11803" width="31.42578125" style="105" customWidth="1"/>
    <col min="11804" max="11804" width="29.42578125" style="105" customWidth="1"/>
    <col min="11805" max="11805" width="22.42578125" style="105" customWidth="1"/>
    <col min="11806" max="11806" width="20.28515625" style="105" customWidth="1"/>
    <col min="11807" max="11807" width="24" style="105" customWidth="1"/>
    <col min="11808" max="11808" width="33.5703125" style="105" customWidth="1"/>
    <col min="11809" max="11809" width="50" style="105" customWidth="1"/>
    <col min="11810" max="11810" width="50.5703125" style="105" customWidth="1"/>
    <col min="11811" max="11811" width="49.140625" style="105" customWidth="1"/>
    <col min="11812" max="11812" width="58.5703125" style="105" customWidth="1"/>
    <col min="11813" max="11813" width="59" style="105" customWidth="1"/>
    <col min="11814" max="11814" width="57.5703125" style="105" customWidth="1"/>
    <col min="11815" max="11815" width="58.7109375" style="105" customWidth="1"/>
    <col min="11816" max="11816" width="59.140625" style="105" customWidth="1"/>
    <col min="11817" max="11817" width="57.7109375" style="105" customWidth="1"/>
    <col min="11818" max="11818" width="20.5703125" style="105" customWidth="1"/>
    <col min="11819" max="11819" width="20.85546875" style="105" customWidth="1"/>
    <col min="11820" max="11820" width="26.5703125" style="105" customWidth="1"/>
    <col min="11821" max="11821" width="24" style="105" customWidth="1"/>
    <col min="11822" max="11822" width="22" style="105" customWidth="1"/>
    <col min="11823" max="11823" width="22.140625" style="105" customWidth="1"/>
    <col min="11824" max="11824" width="27.85546875" style="105" customWidth="1"/>
    <col min="11825" max="11825" width="40.5703125" style="105" customWidth="1"/>
    <col min="11826" max="11826" width="147.5703125" style="105" customWidth="1"/>
    <col min="11827" max="12032" width="9.140625" style="105"/>
    <col min="12033" max="12033" width="9.42578125" style="105" customWidth="1"/>
    <col min="12034" max="12034" width="83.140625" style="105" customWidth="1"/>
    <col min="12035" max="12035" width="31.28515625" style="105" customWidth="1"/>
    <col min="12036" max="12036" width="35.42578125" style="105" customWidth="1"/>
    <col min="12037" max="12037" width="86.42578125" style="105" customWidth="1"/>
    <col min="12038" max="12038" width="6" style="105" customWidth="1"/>
    <col min="12039" max="12039" width="6.28515625" style="105" customWidth="1"/>
    <col min="12040" max="12040" width="18.7109375" style="105" customWidth="1"/>
    <col min="12041" max="12041" width="46.7109375" style="105" customWidth="1"/>
    <col min="12042" max="12042" width="17.85546875" style="105" customWidth="1"/>
    <col min="12043" max="12043" width="19.42578125" style="105" customWidth="1"/>
    <col min="12044" max="12044" width="19.85546875" style="105" customWidth="1"/>
    <col min="12045" max="12045" width="22.7109375" style="105" customWidth="1"/>
    <col min="12046" max="12046" width="23.7109375" style="105" customWidth="1"/>
    <col min="12047" max="12047" width="48.7109375" style="105" customWidth="1"/>
    <col min="12048" max="12048" width="37.5703125" style="105" customWidth="1"/>
    <col min="12049" max="12049" width="40.28515625" style="105" customWidth="1"/>
    <col min="12050" max="12050" width="37.85546875" style="105" customWidth="1"/>
    <col min="12051" max="12051" width="40.5703125" style="105" customWidth="1"/>
    <col min="12052" max="12052" width="58.7109375" style="105" customWidth="1"/>
    <col min="12053" max="12053" width="28.85546875" style="105" customWidth="1"/>
    <col min="12054" max="12054" width="14.85546875" style="105" customWidth="1"/>
    <col min="12055" max="12055" width="42.85546875" style="105" customWidth="1"/>
    <col min="12056" max="12056" width="35.5703125" style="105" customWidth="1"/>
    <col min="12057" max="12057" width="33.140625" style="105" customWidth="1"/>
    <col min="12058" max="12058" width="23.140625" style="105" customWidth="1"/>
    <col min="12059" max="12059" width="31.42578125" style="105" customWidth="1"/>
    <col min="12060" max="12060" width="29.42578125" style="105" customWidth="1"/>
    <col min="12061" max="12061" width="22.42578125" style="105" customWidth="1"/>
    <col min="12062" max="12062" width="20.28515625" style="105" customWidth="1"/>
    <col min="12063" max="12063" width="24" style="105" customWidth="1"/>
    <col min="12064" max="12064" width="33.5703125" style="105" customWidth="1"/>
    <col min="12065" max="12065" width="50" style="105" customWidth="1"/>
    <col min="12066" max="12066" width="50.5703125" style="105" customWidth="1"/>
    <col min="12067" max="12067" width="49.140625" style="105" customWidth="1"/>
    <col min="12068" max="12068" width="58.5703125" style="105" customWidth="1"/>
    <col min="12069" max="12069" width="59" style="105" customWidth="1"/>
    <col min="12070" max="12070" width="57.5703125" style="105" customWidth="1"/>
    <col min="12071" max="12071" width="58.7109375" style="105" customWidth="1"/>
    <col min="12072" max="12072" width="59.140625" style="105" customWidth="1"/>
    <col min="12073" max="12073" width="57.7109375" style="105" customWidth="1"/>
    <col min="12074" max="12074" width="20.5703125" style="105" customWidth="1"/>
    <col min="12075" max="12075" width="20.85546875" style="105" customWidth="1"/>
    <col min="12076" max="12076" width="26.5703125" style="105" customWidth="1"/>
    <col min="12077" max="12077" width="24" style="105" customWidth="1"/>
    <col min="12078" max="12078" width="22" style="105" customWidth="1"/>
    <col min="12079" max="12079" width="22.140625" style="105" customWidth="1"/>
    <col min="12080" max="12080" width="27.85546875" style="105" customWidth="1"/>
    <col min="12081" max="12081" width="40.5703125" style="105" customWidth="1"/>
    <col min="12082" max="12082" width="147.5703125" style="105" customWidth="1"/>
    <col min="12083" max="12288" width="9.140625" style="105"/>
    <col min="12289" max="12289" width="9.42578125" style="105" customWidth="1"/>
    <col min="12290" max="12290" width="83.140625" style="105" customWidth="1"/>
    <col min="12291" max="12291" width="31.28515625" style="105" customWidth="1"/>
    <col min="12292" max="12292" width="35.42578125" style="105" customWidth="1"/>
    <col min="12293" max="12293" width="86.42578125" style="105" customWidth="1"/>
    <col min="12294" max="12294" width="6" style="105" customWidth="1"/>
    <col min="12295" max="12295" width="6.28515625" style="105" customWidth="1"/>
    <col min="12296" max="12296" width="18.7109375" style="105" customWidth="1"/>
    <col min="12297" max="12297" width="46.7109375" style="105" customWidth="1"/>
    <col min="12298" max="12298" width="17.85546875" style="105" customWidth="1"/>
    <col min="12299" max="12299" width="19.42578125" style="105" customWidth="1"/>
    <col min="12300" max="12300" width="19.85546875" style="105" customWidth="1"/>
    <col min="12301" max="12301" width="22.7109375" style="105" customWidth="1"/>
    <col min="12302" max="12302" width="23.7109375" style="105" customWidth="1"/>
    <col min="12303" max="12303" width="48.7109375" style="105" customWidth="1"/>
    <col min="12304" max="12304" width="37.5703125" style="105" customWidth="1"/>
    <col min="12305" max="12305" width="40.28515625" style="105" customWidth="1"/>
    <col min="12306" max="12306" width="37.85546875" style="105" customWidth="1"/>
    <col min="12307" max="12307" width="40.5703125" style="105" customWidth="1"/>
    <col min="12308" max="12308" width="58.7109375" style="105" customWidth="1"/>
    <col min="12309" max="12309" width="28.85546875" style="105" customWidth="1"/>
    <col min="12310" max="12310" width="14.85546875" style="105" customWidth="1"/>
    <col min="12311" max="12311" width="42.85546875" style="105" customWidth="1"/>
    <col min="12312" max="12312" width="35.5703125" style="105" customWidth="1"/>
    <col min="12313" max="12313" width="33.140625" style="105" customWidth="1"/>
    <col min="12314" max="12314" width="23.140625" style="105" customWidth="1"/>
    <col min="12315" max="12315" width="31.42578125" style="105" customWidth="1"/>
    <col min="12316" max="12316" width="29.42578125" style="105" customWidth="1"/>
    <col min="12317" max="12317" width="22.42578125" style="105" customWidth="1"/>
    <col min="12318" max="12318" width="20.28515625" style="105" customWidth="1"/>
    <col min="12319" max="12319" width="24" style="105" customWidth="1"/>
    <col min="12320" max="12320" width="33.5703125" style="105" customWidth="1"/>
    <col min="12321" max="12321" width="50" style="105" customWidth="1"/>
    <col min="12322" max="12322" width="50.5703125" style="105" customWidth="1"/>
    <col min="12323" max="12323" width="49.140625" style="105" customWidth="1"/>
    <col min="12324" max="12324" width="58.5703125" style="105" customWidth="1"/>
    <col min="12325" max="12325" width="59" style="105" customWidth="1"/>
    <col min="12326" max="12326" width="57.5703125" style="105" customWidth="1"/>
    <col min="12327" max="12327" width="58.7109375" style="105" customWidth="1"/>
    <col min="12328" max="12328" width="59.140625" style="105" customWidth="1"/>
    <col min="12329" max="12329" width="57.7109375" style="105" customWidth="1"/>
    <col min="12330" max="12330" width="20.5703125" style="105" customWidth="1"/>
    <col min="12331" max="12331" width="20.85546875" style="105" customWidth="1"/>
    <col min="12332" max="12332" width="26.5703125" style="105" customWidth="1"/>
    <col min="12333" max="12333" width="24" style="105" customWidth="1"/>
    <col min="12334" max="12334" width="22" style="105" customWidth="1"/>
    <col min="12335" max="12335" width="22.140625" style="105" customWidth="1"/>
    <col min="12336" max="12336" width="27.85546875" style="105" customWidth="1"/>
    <col min="12337" max="12337" width="40.5703125" style="105" customWidth="1"/>
    <col min="12338" max="12338" width="147.5703125" style="105" customWidth="1"/>
    <col min="12339" max="12544" width="9.140625" style="105"/>
    <col min="12545" max="12545" width="9.42578125" style="105" customWidth="1"/>
    <col min="12546" max="12546" width="83.140625" style="105" customWidth="1"/>
    <col min="12547" max="12547" width="31.28515625" style="105" customWidth="1"/>
    <col min="12548" max="12548" width="35.42578125" style="105" customWidth="1"/>
    <col min="12549" max="12549" width="86.42578125" style="105" customWidth="1"/>
    <col min="12550" max="12550" width="6" style="105" customWidth="1"/>
    <col min="12551" max="12551" width="6.28515625" style="105" customWidth="1"/>
    <col min="12552" max="12552" width="18.7109375" style="105" customWidth="1"/>
    <col min="12553" max="12553" width="46.7109375" style="105" customWidth="1"/>
    <col min="12554" max="12554" width="17.85546875" style="105" customWidth="1"/>
    <col min="12555" max="12555" width="19.42578125" style="105" customWidth="1"/>
    <col min="12556" max="12556" width="19.85546875" style="105" customWidth="1"/>
    <col min="12557" max="12557" width="22.7109375" style="105" customWidth="1"/>
    <col min="12558" max="12558" width="23.7109375" style="105" customWidth="1"/>
    <col min="12559" max="12559" width="48.7109375" style="105" customWidth="1"/>
    <col min="12560" max="12560" width="37.5703125" style="105" customWidth="1"/>
    <col min="12561" max="12561" width="40.28515625" style="105" customWidth="1"/>
    <col min="12562" max="12562" width="37.85546875" style="105" customWidth="1"/>
    <col min="12563" max="12563" width="40.5703125" style="105" customWidth="1"/>
    <col min="12564" max="12564" width="58.7109375" style="105" customWidth="1"/>
    <col min="12565" max="12565" width="28.85546875" style="105" customWidth="1"/>
    <col min="12566" max="12566" width="14.85546875" style="105" customWidth="1"/>
    <col min="12567" max="12567" width="42.85546875" style="105" customWidth="1"/>
    <col min="12568" max="12568" width="35.5703125" style="105" customWidth="1"/>
    <col min="12569" max="12569" width="33.140625" style="105" customWidth="1"/>
    <col min="12570" max="12570" width="23.140625" style="105" customWidth="1"/>
    <col min="12571" max="12571" width="31.42578125" style="105" customWidth="1"/>
    <col min="12572" max="12572" width="29.42578125" style="105" customWidth="1"/>
    <col min="12573" max="12573" width="22.42578125" style="105" customWidth="1"/>
    <col min="12574" max="12574" width="20.28515625" style="105" customWidth="1"/>
    <col min="12575" max="12575" width="24" style="105" customWidth="1"/>
    <col min="12576" max="12576" width="33.5703125" style="105" customWidth="1"/>
    <col min="12577" max="12577" width="50" style="105" customWidth="1"/>
    <col min="12578" max="12578" width="50.5703125" style="105" customWidth="1"/>
    <col min="12579" max="12579" width="49.140625" style="105" customWidth="1"/>
    <col min="12580" max="12580" width="58.5703125" style="105" customWidth="1"/>
    <col min="12581" max="12581" width="59" style="105" customWidth="1"/>
    <col min="12582" max="12582" width="57.5703125" style="105" customWidth="1"/>
    <col min="12583" max="12583" width="58.7109375" style="105" customWidth="1"/>
    <col min="12584" max="12584" width="59.140625" style="105" customWidth="1"/>
    <col min="12585" max="12585" width="57.7109375" style="105" customWidth="1"/>
    <col min="12586" max="12586" width="20.5703125" style="105" customWidth="1"/>
    <col min="12587" max="12587" width="20.85546875" style="105" customWidth="1"/>
    <col min="12588" max="12588" width="26.5703125" style="105" customWidth="1"/>
    <col min="12589" max="12589" width="24" style="105" customWidth="1"/>
    <col min="12590" max="12590" width="22" style="105" customWidth="1"/>
    <col min="12591" max="12591" width="22.140625" style="105" customWidth="1"/>
    <col min="12592" max="12592" width="27.85546875" style="105" customWidth="1"/>
    <col min="12593" max="12593" width="40.5703125" style="105" customWidth="1"/>
    <col min="12594" max="12594" width="147.5703125" style="105" customWidth="1"/>
    <col min="12595" max="12800" width="9.140625" style="105"/>
    <col min="12801" max="12801" width="9.42578125" style="105" customWidth="1"/>
    <col min="12802" max="12802" width="83.140625" style="105" customWidth="1"/>
    <col min="12803" max="12803" width="31.28515625" style="105" customWidth="1"/>
    <col min="12804" max="12804" width="35.42578125" style="105" customWidth="1"/>
    <col min="12805" max="12805" width="86.42578125" style="105" customWidth="1"/>
    <col min="12806" max="12806" width="6" style="105" customWidth="1"/>
    <col min="12807" max="12807" width="6.28515625" style="105" customWidth="1"/>
    <col min="12808" max="12808" width="18.7109375" style="105" customWidth="1"/>
    <col min="12809" max="12809" width="46.7109375" style="105" customWidth="1"/>
    <col min="12810" max="12810" width="17.85546875" style="105" customWidth="1"/>
    <col min="12811" max="12811" width="19.42578125" style="105" customWidth="1"/>
    <col min="12812" max="12812" width="19.85546875" style="105" customWidth="1"/>
    <col min="12813" max="12813" width="22.7109375" style="105" customWidth="1"/>
    <col min="12814" max="12814" width="23.7109375" style="105" customWidth="1"/>
    <col min="12815" max="12815" width="48.7109375" style="105" customWidth="1"/>
    <col min="12816" max="12816" width="37.5703125" style="105" customWidth="1"/>
    <col min="12817" max="12817" width="40.28515625" style="105" customWidth="1"/>
    <col min="12818" max="12818" width="37.85546875" style="105" customWidth="1"/>
    <col min="12819" max="12819" width="40.5703125" style="105" customWidth="1"/>
    <col min="12820" max="12820" width="58.7109375" style="105" customWidth="1"/>
    <col min="12821" max="12821" width="28.85546875" style="105" customWidth="1"/>
    <col min="12822" max="12822" width="14.85546875" style="105" customWidth="1"/>
    <col min="12823" max="12823" width="42.85546875" style="105" customWidth="1"/>
    <col min="12824" max="12824" width="35.5703125" style="105" customWidth="1"/>
    <col min="12825" max="12825" width="33.140625" style="105" customWidth="1"/>
    <col min="12826" max="12826" width="23.140625" style="105" customWidth="1"/>
    <col min="12827" max="12827" width="31.42578125" style="105" customWidth="1"/>
    <col min="12828" max="12828" width="29.42578125" style="105" customWidth="1"/>
    <col min="12829" max="12829" width="22.42578125" style="105" customWidth="1"/>
    <col min="12830" max="12830" width="20.28515625" style="105" customWidth="1"/>
    <col min="12831" max="12831" width="24" style="105" customWidth="1"/>
    <col min="12832" max="12832" width="33.5703125" style="105" customWidth="1"/>
    <col min="12833" max="12833" width="50" style="105" customWidth="1"/>
    <col min="12834" max="12834" width="50.5703125" style="105" customWidth="1"/>
    <col min="12835" max="12835" width="49.140625" style="105" customWidth="1"/>
    <col min="12836" max="12836" width="58.5703125" style="105" customWidth="1"/>
    <col min="12837" max="12837" width="59" style="105" customWidth="1"/>
    <col min="12838" max="12838" width="57.5703125" style="105" customWidth="1"/>
    <col min="12839" max="12839" width="58.7109375" style="105" customWidth="1"/>
    <col min="12840" max="12840" width="59.140625" style="105" customWidth="1"/>
    <col min="12841" max="12841" width="57.7109375" style="105" customWidth="1"/>
    <col min="12842" max="12842" width="20.5703125" style="105" customWidth="1"/>
    <col min="12843" max="12843" width="20.85546875" style="105" customWidth="1"/>
    <col min="12844" max="12844" width="26.5703125" style="105" customWidth="1"/>
    <col min="12845" max="12845" width="24" style="105" customWidth="1"/>
    <col min="12846" max="12846" width="22" style="105" customWidth="1"/>
    <col min="12847" max="12847" width="22.140625" style="105" customWidth="1"/>
    <col min="12848" max="12848" width="27.85546875" style="105" customWidth="1"/>
    <col min="12849" max="12849" width="40.5703125" style="105" customWidth="1"/>
    <col min="12850" max="12850" width="147.5703125" style="105" customWidth="1"/>
    <col min="12851" max="13056" width="9.140625" style="105"/>
    <col min="13057" max="13057" width="9.42578125" style="105" customWidth="1"/>
    <col min="13058" max="13058" width="83.140625" style="105" customWidth="1"/>
    <col min="13059" max="13059" width="31.28515625" style="105" customWidth="1"/>
    <col min="13060" max="13060" width="35.42578125" style="105" customWidth="1"/>
    <col min="13061" max="13061" width="86.42578125" style="105" customWidth="1"/>
    <col min="13062" max="13062" width="6" style="105" customWidth="1"/>
    <col min="13063" max="13063" width="6.28515625" style="105" customWidth="1"/>
    <col min="13064" max="13064" width="18.7109375" style="105" customWidth="1"/>
    <col min="13065" max="13065" width="46.7109375" style="105" customWidth="1"/>
    <col min="13066" max="13066" width="17.85546875" style="105" customWidth="1"/>
    <col min="13067" max="13067" width="19.42578125" style="105" customWidth="1"/>
    <col min="13068" max="13068" width="19.85546875" style="105" customWidth="1"/>
    <col min="13069" max="13069" width="22.7109375" style="105" customWidth="1"/>
    <col min="13070" max="13070" width="23.7109375" style="105" customWidth="1"/>
    <col min="13071" max="13071" width="48.7109375" style="105" customWidth="1"/>
    <col min="13072" max="13072" width="37.5703125" style="105" customWidth="1"/>
    <col min="13073" max="13073" width="40.28515625" style="105" customWidth="1"/>
    <col min="13074" max="13074" width="37.85546875" style="105" customWidth="1"/>
    <col min="13075" max="13075" width="40.5703125" style="105" customWidth="1"/>
    <col min="13076" max="13076" width="58.7109375" style="105" customWidth="1"/>
    <col min="13077" max="13077" width="28.85546875" style="105" customWidth="1"/>
    <col min="13078" max="13078" width="14.85546875" style="105" customWidth="1"/>
    <col min="13079" max="13079" width="42.85546875" style="105" customWidth="1"/>
    <col min="13080" max="13080" width="35.5703125" style="105" customWidth="1"/>
    <col min="13081" max="13081" width="33.140625" style="105" customWidth="1"/>
    <col min="13082" max="13082" width="23.140625" style="105" customWidth="1"/>
    <col min="13083" max="13083" width="31.42578125" style="105" customWidth="1"/>
    <col min="13084" max="13084" width="29.42578125" style="105" customWidth="1"/>
    <col min="13085" max="13085" width="22.42578125" style="105" customWidth="1"/>
    <col min="13086" max="13086" width="20.28515625" style="105" customWidth="1"/>
    <col min="13087" max="13087" width="24" style="105" customWidth="1"/>
    <col min="13088" max="13088" width="33.5703125" style="105" customWidth="1"/>
    <col min="13089" max="13089" width="50" style="105" customWidth="1"/>
    <col min="13090" max="13090" width="50.5703125" style="105" customWidth="1"/>
    <col min="13091" max="13091" width="49.140625" style="105" customWidth="1"/>
    <col min="13092" max="13092" width="58.5703125" style="105" customWidth="1"/>
    <col min="13093" max="13093" width="59" style="105" customWidth="1"/>
    <col min="13094" max="13094" width="57.5703125" style="105" customWidth="1"/>
    <col min="13095" max="13095" width="58.7109375" style="105" customWidth="1"/>
    <col min="13096" max="13096" width="59.140625" style="105" customWidth="1"/>
    <col min="13097" max="13097" width="57.7109375" style="105" customWidth="1"/>
    <col min="13098" max="13098" width="20.5703125" style="105" customWidth="1"/>
    <col min="13099" max="13099" width="20.85546875" style="105" customWidth="1"/>
    <col min="13100" max="13100" width="26.5703125" style="105" customWidth="1"/>
    <col min="13101" max="13101" width="24" style="105" customWidth="1"/>
    <col min="13102" max="13102" width="22" style="105" customWidth="1"/>
    <col min="13103" max="13103" width="22.140625" style="105" customWidth="1"/>
    <col min="13104" max="13104" width="27.85546875" style="105" customWidth="1"/>
    <col min="13105" max="13105" width="40.5703125" style="105" customWidth="1"/>
    <col min="13106" max="13106" width="147.5703125" style="105" customWidth="1"/>
    <col min="13107" max="13312" width="9.140625" style="105"/>
    <col min="13313" max="13313" width="9.42578125" style="105" customWidth="1"/>
    <col min="13314" max="13314" width="83.140625" style="105" customWidth="1"/>
    <col min="13315" max="13315" width="31.28515625" style="105" customWidth="1"/>
    <col min="13316" max="13316" width="35.42578125" style="105" customWidth="1"/>
    <col min="13317" max="13317" width="86.42578125" style="105" customWidth="1"/>
    <col min="13318" max="13318" width="6" style="105" customWidth="1"/>
    <col min="13319" max="13319" width="6.28515625" style="105" customWidth="1"/>
    <col min="13320" max="13320" width="18.7109375" style="105" customWidth="1"/>
    <col min="13321" max="13321" width="46.7109375" style="105" customWidth="1"/>
    <col min="13322" max="13322" width="17.85546875" style="105" customWidth="1"/>
    <col min="13323" max="13323" width="19.42578125" style="105" customWidth="1"/>
    <col min="13324" max="13324" width="19.85546875" style="105" customWidth="1"/>
    <col min="13325" max="13325" width="22.7109375" style="105" customWidth="1"/>
    <col min="13326" max="13326" width="23.7109375" style="105" customWidth="1"/>
    <col min="13327" max="13327" width="48.7109375" style="105" customWidth="1"/>
    <col min="13328" max="13328" width="37.5703125" style="105" customWidth="1"/>
    <col min="13329" max="13329" width="40.28515625" style="105" customWidth="1"/>
    <col min="13330" max="13330" width="37.85546875" style="105" customWidth="1"/>
    <col min="13331" max="13331" width="40.5703125" style="105" customWidth="1"/>
    <col min="13332" max="13332" width="58.7109375" style="105" customWidth="1"/>
    <col min="13333" max="13333" width="28.85546875" style="105" customWidth="1"/>
    <col min="13334" max="13334" width="14.85546875" style="105" customWidth="1"/>
    <col min="13335" max="13335" width="42.85546875" style="105" customWidth="1"/>
    <col min="13336" max="13336" width="35.5703125" style="105" customWidth="1"/>
    <col min="13337" max="13337" width="33.140625" style="105" customWidth="1"/>
    <col min="13338" max="13338" width="23.140625" style="105" customWidth="1"/>
    <col min="13339" max="13339" width="31.42578125" style="105" customWidth="1"/>
    <col min="13340" max="13340" width="29.42578125" style="105" customWidth="1"/>
    <col min="13341" max="13341" width="22.42578125" style="105" customWidth="1"/>
    <col min="13342" max="13342" width="20.28515625" style="105" customWidth="1"/>
    <col min="13343" max="13343" width="24" style="105" customWidth="1"/>
    <col min="13344" max="13344" width="33.5703125" style="105" customWidth="1"/>
    <col min="13345" max="13345" width="50" style="105" customWidth="1"/>
    <col min="13346" max="13346" width="50.5703125" style="105" customWidth="1"/>
    <col min="13347" max="13347" width="49.140625" style="105" customWidth="1"/>
    <col min="13348" max="13348" width="58.5703125" style="105" customWidth="1"/>
    <col min="13349" max="13349" width="59" style="105" customWidth="1"/>
    <col min="13350" max="13350" width="57.5703125" style="105" customWidth="1"/>
    <col min="13351" max="13351" width="58.7109375" style="105" customWidth="1"/>
    <col min="13352" max="13352" width="59.140625" style="105" customWidth="1"/>
    <col min="13353" max="13353" width="57.7109375" style="105" customWidth="1"/>
    <col min="13354" max="13354" width="20.5703125" style="105" customWidth="1"/>
    <col min="13355" max="13355" width="20.85546875" style="105" customWidth="1"/>
    <col min="13356" max="13356" width="26.5703125" style="105" customWidth="1"/>
    <col min="13357" max="13357" width="24" style="105" customWidth="1"/>
    <col min="13358" max="13358" width="22" style="105" customWidth="1"/>
    <col min="13359" max="13359" width="22.140625" style="105" customWidth="1"/>
    <col min="13360" max="13360" width="27.85546875" style="105" customWidth="1"/>
    <col min="13361" max="13361" width="40.5703125" style="105" customWidth="1"/>
    <col min="13362" max="13362" width="147.5703125" style="105" customWidth="1"/>
    <col min="13363" max="13568" width="9.140625" style="105"/>
    <col min="13569" max="13569" width="9.42578125" style="105" customWidth="1"/>
    <col min="13570" max="13570" width="83.140625" style="105" customWidth="1"/>
    <col min="13571" max="13571" width="31.28515625" style="105" customWidth="1"/>
    <col min="13572" max="13572" width="35.42578125" style="105" customWidth="1"/>
    <col min="13573" max="13573" width="86.42578125" style="105" customWidth="1"/>
    <col min="13574" max="13574" width="6" style="105" customWidth="1"/>
    <col min="13575" max="13575" width="6.28515625" style="105" customWidth="1"/>
    <col min="13576" max="13576" width="18.7109375" style="105" customWidth="1"/>
    <col min="13577" max="13577" width="46.7109375" style="105" customWidth="1"/>
    <col min="13578" max="13578" width="17.85546875" style="105" customWidth="1"/>
    <col min="13579" max="13579" width="19.42578125" style="105" customWidth="1"/>
    <col min="13580" max="13580" width="19.85546875" style="105" customWidth="1"/>
    <col min="13581" max="13581" width="22.7109375" style="105" customWidth="1"/>
    <col min="13582" max="13582" width="23.7109375" style="105" customWidth="1"/>
    <col min="13583" max="13583" width="48.7109375" style="105" customWidth="1"/>
    <col min="13584" max="13584" width="37.5703125" style="105" customWidth="1"/>
    <col min="13585" max="13585" width="40.28515625" style="105" customWidth="1"/>
    <col min="13586" max="13586" width="37.85546875" style="105" customWidth="1"/>
    <col min="13587" max="13587" width="40.5703125" style="105" customWidth="1"/>
    <col min="13588" max="13588" width="58.7109375" style="105" customWidth="1"/>
    <col min="13589" max="13589" width="28.85546875" style="105" customWidth="1"/>
    <col min="13590" max="13590" width="14.85546875" style="105" customWidth="1"/>
    <col min="13591" max="13591" width="42.85546875" style="105" customWidth="1"/>
    <col min="13592" max="13592" width="35.5703125" style="105" customWidth="1"/>
    <col min="13593" max="13593" width="33.140625" style="105" customWidth="1"/>
    <col min="13594" max="13594" width="23.140625" style="105" customWidth="1"/>
    <col min="13595" max="13595" width="31.42578125" style="105" customWidth="1"/>
    <col min="13596" max="13596" width="29.42578125" style="105" customWidth="1"/>
    <col min="13597" max="13597" width="22.42578125" style="105" customWidth="1"/>
    <col min="13598" max="13598" width="20.28515625" style="105" customWidth="1"/>
    <col min="13599" max="13599" width="24" style="105" customWidth="1"/>
    <col min="13600" max="13600" width="33.5703125" style="105" customWidth="1"/>
    <col min="13601" max="13601" width="50" style="105" customWidth="1"/>
    <col min="13602" max="13602" width="50.5703125" style="105" customWidth="1"/>
    <col min="13603" max="13603" width="49.140625" style="105" customWidth="1"/>
    <col min="13604" max="13604" width="58.5703125" style="105" customWidth="1"/>
    <col min="13605" max="13605" width="59" style="105" customWidth="1"/>
    <col min="13606" max="13606" width="57.5703125" style="105" customWidth="1"/>
    <col min="13607" max="13607" width="58.7109375" style="105" customWidth="1"/>
    <col min="13608" max="13608" width="59.140625" style="105" customWidth="1"/>
    <col min="13609" max="13609" width="57.7109375" style="105" customWidth="1"/>
    <col min="13610" max="13610" width="20.5703125" style="105" customWidth="1"/>
    <col min="13611" max="13611" width="20.85546875" style="105" customWidth="1"/>
    <col min="13612" max="13612" width="26.5703125" style="105" customWidth="1"/>
    <col min="13613" max="13613" width="24" style="105" customWidth="1"/>
    <col min="13614" max="13614" width="22" style="105" customWidth="1"/>
    <col min="13615" max="13615" width="22.140625" style="105" customWidth="1"/>
    <col min="13616" max="13616" width="27.85546875" style="105" customWidth="1"/>
    <col min="13617" max="13617" width="40.5703125" style="105" customWidth="1"/>
    <col min="13618" max="13618" width="147.5703125" style="105" customWidth="1"/>
    <col min="13619" max="13824" width="9.140625" style="105"/>
    <col min="13825" max="13825" width="9.42578125" style="105" customWidth="1"/>
    <col min="13826" max="13826" width="83.140625" style="105" customWidth="1"/>
    <col min="13827" max="13827" width="31.28515625" style="105" customWidth="1"/>
    <col min="13828" max="13828" width="35.42578125" style="105" customWidth="1"/>
    <col min="13829" max="13829" width="86.42578125" style="105" customWidth="1"/>
    <col min="13830" max="13830" width="6" style="105" customWidth="1"/>
    <col min="13831" max="13831" width="6.28515625" style="105" customWidth="1"/>
    <col min="13832" max="13832" width="18.7109375" style="105" customWidth="1"/>
    <col min="13833" max="13833" width="46.7109375" style="105" customWidth="1"/>
    <col min="13834" max="13834" width="17.85546875" style="105" customWidth="1"/>
    <col min="13835" max="13835" width="19.42578125" style="105" customWidth="1"/>
    <col min="13836" max="13836" width="19.85546875" style="105" customWidth="1"/>
    <col min="13837" max="13837" width="22.7109375" style="105" customWidth="1"/>
    <col min="13838" max="13838" width="23.7109375" style="105" customWidth="1"/>
    <col min="13839" max="13839" width="48.7109375" style="105" customWidth="1"/>
    <col min="13840" max="13840" width="37.5703125" style="105" customWidth="1"/>
    <col min="13841" max="13841" width="40.28515625" style="105" customWidth="1"/>
    <col min="13842" max="13842" width="37.85546875" style="105" customWidth="1"/>
    <col min="13843" max="13843" width="40.5703125" style="105" customWidth="1"/>
    <col min="13844" max="13844" width="58.7109375" style="105" customWidth="1"/>
    <col min="13845" max="13845" width="28.85546875" style="105" customWidth="1"/>
    <col min="13846" max="13846" width="14.85546875" style="105" customWidth="1"/>
    <col min="13847" max="13847" width="42.85546875" style="105" customWidth="1"/>
    <col min="13848" max="13848" width="35.5703125" style="105" customWidth="1"/>
    <col min="13849" max="13849" width="33.140625" style="105" customWidth="1"/>
    <col min="13850" max="13850" width="23.140625" style="105" customWidth="1"/>
    <col min="13851" max="13851" width="31.42578125" style="105" customWidth="1"/>
    <col min="13852" max="13852" width="29.42578125" style="105" customWidth="1"/>
    <col min="13853" max="13853" width="22.42578125" style="105" customWidth="1"/>
    <col min="13854" max="13854" width="20.28515625" style="105" customWidth="1"/>
    <col min="13855" max="13855" width="24" style="105" customWidth="1"/>
    <col min="13856" max="13856" width="33.5703125" style="105" customWidth="1"/>
    <col min="13857" max="13857" width="50" style="105" customWidth="1"/>
    <col min="13858" max="13858" width="50.5703125" style="105" customWidth="1"/>
    <col min="13859" max="13859" width="49.140625" style="105" customWidth="1"/>
    <col min="13860" max="13860" width="58.5703125" style="105" customWidth="1"/>
    <col min="13861" max="13861" width="59" style="105" customWidth="1"/>
    <col min="13862" max="13862" width="57.5703125" style="105" customWidth="1"/>
    <col min="13863" max="13863" width="58.7109375" style="105" customWidth="1"/>
    <col min="13864" max="13864" width="59.140625" style="105" customWidth="1"/>
    <col min="13865" max="13865" width="57.7109375" style="105" customWidth="1"/>
    <col min="13866" max="13866" width="20.5703125" style="105" customWidth="1"/>
    <col min="13867" max="13867" width="20.85546875" style="105" customWidth="1"/>
    <col min="13868" max="13868" width="26.5703125" style="105" customWidth="1"/>
    <col min="13869" max="13869" width="24" style="105" customWidth="1"/>
    <col min="13870" max="13870" width="22" style="105" customWidth="1"/>
    <col min="13871" max="13871" width="22.140625" style="105" customWidth="1"/>
    <col min="13872" max="13872" width="27.85546875" style="105" customWidth="1"/>
    <col min="13873" max="13873" width="40.5703125" style="105" customWidth="1"/>
    <col min="13874" max="13874" width="147.5703125" style="105" customWidth="1"/>
    <col min="13875" max="14080" width="9.140625" style="105"/>
    <col min="14081" max="14081" width="9.42578125" style="105" customWidth="1"/>
    <col min="14082" max="14082" width="83.140625" style="105" customWidth="1"/>
    <col min="14083" max="14083" width="31.28515625" style="105" customWidth="1"/>
    <col min="14084" max="14084" width="35.42578125" style="105" customWidth="1"/>
    <col min="14085" max="14085" width="86.42578125" style="105" customWidth="1"/>
    <col min="14086" max="14086" width="6" style="105" customWidth="1"/>
    <col min="14087" max="14087" width="6.28515625" style="105" customWidth="1"/>
    <col min="14088" max="14088" width="18.7109375" style="105" customWidth="1"/>
    <col min="14089" max="14089" width="46.7109375" style="105" customWidth="1"/>
    <col min="14090" max="14090" width="17.85546875" style="105" customWidth="1"/>
    <col min="14091" max="14091" width="19.42578125" style="105" customWidth="1"/>
    <col min="14092" max="14092" width="19.85546875" style="105" customWidth="1"/>
    <col min="14093" max="14093" width="22.7109375" style="105" customWidth="1"/>
    <col min="14094" max="14094" width="23.7109375" style="105" customWidth="1"/>
    <col min="14095" max="14095" width="48.7109375" style="105" customWidth="1"/>
    <col min="14096" max="14096" width="37.5703125" style="105" customWidth="1"/>
    <col min="14097" max="14097" width="40.28515625" style="105" customWidth="1"/>
    <col min="14098" max="14098" width="37.85546875" style="105" customWidth="1"/>
    <col min="14099" max="14099" width="40.5703125" style="105" customWidth="1"/>
    <col min="14100" max="14100" width="58.7109375" style="105" customWidth="1"/>
    <col min="14101" max="14101" width="28.85546875" style="105" customWidth="1"/>
    <col min="14102" max="14102" width="14.85546875" style="105" customWidth="1"/>
    <col min="14103" max="14103" width="42.85546875" style="105" customWidth="1"/>
    <col min="14104" max="14104" width="35.5703125" style="105" customWidth="1"/>
    <col min="14105" max="14105" width="33.140625" style="105" customWidth="1"/>
    <col min="14106" max="14106" width="23.140625" style="105" customWidth="1"/>
    <col min="14107" max="14107" width="31.42578125" style="105" customWidth="1"/>
    <col min="14108" max="14108" width="29.42578125" style="105" customWidth="1"/>
    <col min="14109" max="14109" width="22.42578125" style="105" customWidth="1"/>
    <col min="14110" max="14110" width="20.28515625" style="105" customWidth="1"/>
    <col min="14111" max="14111" width="24" style="105" customWidth="1"/>
    <col min="14112" max="14112" width="33.5703125" style="105" customWidth="1"/>
    <col min="14113" max="14113" width="50" style="105" customWidth="1"/>
    <col min="14114" max="14114" width="50.5703125" style="105" customWidth="1"/>
    <col min="14115" max="14115" width="49.140625" style="105" customWidth="1"/>
    <col min="14116" max="14116" width="58.5703125" style="105" customWidth="1"/>
    <col min="14117" max="14117" width="59" style="105" customWidth="1"/>
    <col min="14118" max="14118" width="57.5703125" style="105" customWidth="1"/>
    <col min="14119" max="14119" width="58.7109375" style="105" customWidth="1"/>
    <col min="14120" max="14120" width="59.140625" style="105" customWidth="1"/>
    <col min="14121" max="14121" width="57.7109375" style="105" customWidth="1"/>
    <col min="14122" max="14122" width="20.5703125" style="105" customWidth="1"/>
    <col min="14123" max="14123" width="20.85546875" style="105" customWidth="1"/>
    <col min="14124" max="14124" width="26.5703125" style="105" customWidth="1"/>
    <col min="14125" max="14125" width="24" style="105" customWidth="1"/>
    <col min="14126" max="14126" width="22" style="105" customWidth="1"/>
    <col min="14127" max="14127" width="22.140625" style="105" customWidth="1"/>
    <col min="14128" max="14128" width="27.85546875" style="105" customWidth="1"/>
    <col min="14129" max="14129" width="40.5703125" style="105" customWidth="1"/>
    <col min="14130" max="14130" width="147.5703125" style="105" customWidth="1"/>
    <col min="14131" max="14336" width="9.140625" style="105"/>
    <col min="14337" max="14337" width="9.42578125" style="105" customWidth="1"/>
    <col min="14338" max="14338" width="83.140625" style="105" customWidth="1"/>
    <col min="14339" max="14339" width="31.28515625" style="105" customWidth="1"/>
    <col min="14340" max="14340" width="35.42578125" style="105" customWidth="1"/>
    <col min="14341" max="14341" width="86.42578125" style="105" customWidth="1"/>
    <col min="14342" max="14342" width="6" style="105" customWidth="1"/>
    <col min="14343" max="14343" width="6.28515625" style="105" customWidth="1"/>
    <col min="14344" max="14344" width="18.7109375" style="105" customWidth="1"/>
    <col min="14345" max="14345" width="46.7109375" style="105" customWidth="1"/>
    <col min="14346" max="14346" width="17.85546875" style="105" customWidth="1"/>
    <col min="14347" max="14347" width="19.42578125" style="105" customWidth="1"/>
    <col min="14348" max="14348" width="19.85546875" style="105" customWidth="1"/>
    <col min="14349" max="14349" width="22.7109375" style="105" customWidth="1"/>
    <col min="14350" max="14350" width="23.7109375" style="105" customWidth="1"/>
    <col min="14351" max="14351" width="48.7109375" style="105" customWidth="1"/>
    <col min="14352" max="14352" width="37.5703125" style="105" customWidth="1"/>
    <col min="14353" max="14353" width="40.28515625" style="105" customWidth="1"/>
    <col min="14354" max="14354" width="37.85546875" style="105" customWidth="1"/>
    <col min="14355" max="14355" width="40.5703125" style="105" customWidth="1"/>
    <col min="14356" max="14356" width="58.7109375" style="105" customWidth="1"/>
    <col min="14357" max="14357" width="28.85546875" style="105" customWidth="1"/>
    <col min="14358" max="14358" width="14.85546875" style="105" customWidth="1"/>
    <col min="14359" max="14359" width="42.85546875" style="105" customWidth="1"/>
    <col min="14360" max="14360" width="35.5703125" style="105" customWidth="1"/>
    <col min="14361" max="14361" width="33.140625" style="105" customWidth="1"/>
    <col min="14362" max="14362" width="23.140625" style="105" customWidth="1"/>
    <col min="14363" max="14363" width="31.42578125" style="105" customWidth="1"/>
    <col min="14364" max="14364" width="29.42578125" style="105" customWidth="1"/>
    <col min="14365" max="14365" width="22.42578125" style="105" customWidth="1"/>
    <col min="14366" max="14366" width="20.28515625" style="105" customWidth="1"/>
    <col min="14367" max="14367" width="24" style="105" customWidth="1"/>
    <col min="14368" max="14368" width="33.5703125" style="105" customWidth="1"/>
    <col min="14369" max="14369" width="50" style="105" customWidth="1"/>
    <col min="14370" max="14370" width="50.5703125" style="105" customWidth="1"/>
    <col min="14371" max="14371" width="49.140625" style="105" customWidth="1"/>
    <col min="14372" max="14372" width="58.5703125" style="105" customWidth="1"/>
    <col min="14373" max="14373" width="59" style="105" customWidth="1"/>
    <col min="14374" max="14374" width="57.5703125" style="105" customWidth="1"/>
    <col min="14375" max="14375" width="58.7109375" style="105" customWidth="1"/>
    <col min="14376" max="14376" width="59.140625" style="105" customWidth="1"/>
    <col min="14377" max="14377" width="57.7109375" style="105" customWidth="1"/>
    <col min="14378" max="14378" width="20.5703125" style="105" customWidth="1"/>
    <col min="14379" max="14379" width="20.85546875" style="105" customWidth="1"/>
    <col min="14380" max="14380" width="26.5703125" style="105" customWidth="1"/>
    <col min="14381" max="14381" width="24" style="105" customWidth="1"/>
    <col min="14382" max="14382" width="22" style="105" customWidth="1"/>
    <col min="14383" max="14383" width="22.140625" style="105" customWidth="1"/>
    <col min="14384" max="14384" width="27.85546875" style="105" customWidth="1"/>
    <col min="14385" max="14385" width="40.5703125" style="105" customWidth="1"/>
    <col min="14386" max="14386" width="147.5703125" style="105" customWidth="1"/>
    <col min="14387" max="14592" width="9.140625" style="105"/>
    <col min="14593" max="14593" width="9.42578125" style="105" customWidth="1"/>
    <col min="14594" max="14594" width="83.140625" style="105" customWidth="1"/>
    <col min="14595" max="14595" width="31.28515625" style="105" customWidth="1"/>
    <col min="14596" max="14596" width="35.42578125" style="105" customWidth="1"/>
    <col min="14597" max="14597" width="86.42578125" style="105" customWidth="1"/>
    <col min="14598" max="14598" width="6" style="105" customWidth="1"/>
    <col min="14599" max="14599" width="6.28515625" style="105" customWidth="1"/>
    <col min="14600" max="14600" width="18.7109375" style="105" customWidth="1"/>
    <col min="14601" max="14601" width="46.7109375" style="105" customWidth="1"/>
    <col min="14602" max="14602" width="17.85546875" style="105" customWidth="1"/>
    <col min="14603" max="14603" width="19.42578125" style="105" customWidth="1"/>
    <col min="14604" max="14604" width="19.85546875" style="105" customWidth="1"/>
    <col min="14605" max="14605" width="22.7109375" style="105" customWidth="1"/>
    <col min="14606" max="14606" width="23.7109375" style="105" customWidth="1"/>
    <col min="14607" max="14607" width="48.7109375" style="105" customWidth="1"/>
    <col min="14608" max="14608" width="37.5703125" style="105" customWidth="1"/>
    <col min="14609" max="14609" width="40.28515625" style="105" customWidth="1"/>
    <col min="14610" max="14610" width="37.85546875" style="105" customWidth="1"/>
    <col min="14611" max="14611" width="40.5703125" style="105" customWidth="1"/>
    <col min="14612" max="14612" width="58.7109375" style="105" customWidth="1"/>
    <col min="14613" max="14613" width="28.85546875" style="105" customWidth="1"/>
    <col min="14614" max="14614" width="14.85546875" style="105" customWidth="1"/>
    <col min="14615" max="14615" width="42.85546875" style="105" customWidth="1"/>
    <col min="14616" max="14616" width="35.5703125" style="105" customWidth="1"/>
    <col min="14617" max="14617" width="33.140625" style="105" customWidth="1"/>
    <col min="14618" max="14618" width="23.140625" style="105" customWidth="1"/>
    <col min="14619" max="14619" width="31.42578125" style="105" customWidth="1"/>
    <col min="14620" max="14620" width="29.42578125" style="105" customWidth="1"/>
    <col min="14621" max="14621" width="22.42578125" style="105" customWidth="1"/>
    <col min="14622" max="14622" width="20.28515625" style="105" customWidth="1"/>
    <col min="14623" max="14623" width="24" style="105" customWidth="1"/>
    <col min="14624" max="14624" width="33.5703125" style="105" customWidth="1"/>
    <col min="14625" max="14625" width="50" style="105" customWidth="1"/>
    <col min="14626" max="14626" width="50.5703125" style="105" customWidth="1"/>
    <col min="14627" max="14627" width="49.140625" style="105" customWidth="1"/>
    <col min="14628" max="14628" width="58.5703125" style="105" customWidth="1"/>
    <col min="14629" max="14629" width="59" style="105" customWidth="1"/>
    <col min="14630" max="14630" width="57.5703125" style="105" customWidth="1"/>
    <col min="14631" max="14631" width="58.7109375" style="105" customWidth="1"/>
    <col min="14632" max="14632" width="59.140625" style="105" customWidth="1"/>
    <col min="14633" max="14633" width="57.7109375" style="105" customWidth="1"/>
    <col min="14634" max="14634" width="20.5703125" style="105" customWidth="1"/>
    <col min="14635" max="14635" width="20.85546875" style="105" customWidth="1"/>
    <col min="14636" max="14636" width="26.5703125" style="105" customWidth="1"/>
    <col min="14637" max="14637" width="24" style="105" customWidth="1"/>
    <col min="14638" max="14638" width="22" style="105" customWidth="1"/>
    <col min="14639" max="14639" width="22.140625" style="105" customWidth="1"/>
    <col min="14640" max="14640" width="27.85546875" style="105" customWidth="1"/>
    <col min="14641" max="14641" width="40.5703125" style="105" customWidth="1"/>
    <col min="14642" max="14642" width="147.5703125" style="105" customWidth="1"/>
    <col min="14643" max="14848" width="9.140625" style="105"/>
    <col min="14849" max="14849" width="9.42578125" style="105" customWidth="1"/>
    <col min="14850" max="14850" width="83.140625" style="105" customWidth="1"/>
    <col min="14851" max="14851" width="31.28515625" style="105" customWidth="1"/>
    <col min="14852" max="14852" width="35.42578125" style="105" customWidth="1"/>
    <col min="14853" max="14853" width="86.42578125" style="105" customWidth="1"/>
    <col min="14854" max="14854" width="6" style="105" customWidth="1"/>
    <col min="14855" max="14855" width="6.28515625" style="105" customWidth="1"/>
    <col min="14856" max="14856" width="18.7109375" style="105" customWidth="1"/>
    <col min="14857" max="14857" width="46.7109375" style="105" customWidth="1"/>
    <col min="14858" max="14858" width="17.85546875" style="105" customWidth="1"/>
    <col min="14859" max="14859" width="19.42578125" style="105" customWidth="1"/>
    <col min="14860" max="14860" width="19.85546875" style="105" customWidth="1"/>
    <col min="14861" max="14861" width="22.7109375" style="105" customWidth="1"/>
    <col min="14862" max="14862" width="23.7109375" style="105" customWidth="1"/>
    <col min="14863" max="14863" width="48.7109375" style="105" customWidth="1"/>
    <col min="14864" max="14864" width="37.5703125" style="105" customWidth="1"/>
    <col min="14865" max="14865" width="40.28515625" style="105" customWidth="1"/>
    <col min="14866" max="14866" width="37.85546875" style="105" customWidth="1"/>
    <col min="14867" max="14867" width="40.5703125" style="105" customWidth="1"/>
    <col min="14868" max="14868" width="58.7109375" style="105" customWidth="1"/>
    <col min="14869" max="14869" width="28.85546875" style="105" customWidth="1"/>
    <col min="14870" max="14870" width="14.85546875" style="105" customWidth="1"/>
    <col min="14871" max="14871" width="42.85546875" style="105" customWidth="1"/>
    <col min="14872" max="14872" width="35.5703125" style="105" customWidth="1"/>
    <col min="14873" max="14873" width="33.140625" style="105" customWidth="1"/>
    <col min="14874" max="14874" width="23.140625" style="105" customWidth="1"/>
    <col min="14875" max="14875" width="31.42578125" style="105" customWidth="1"/>
    <col min="14876" max="14876" width="29.42578125" style="105" customWidth="1"/>
    <col min="14877" max="14877" width="22.42578125" style="105" customWidth="1"/>
    <col min="14878" max="14878" width="20.28515625" style="105" customWidth="1"/>
    <col min="14879" max="14879" width="24" style="105" customWidth="1"/>
    <col min="14880" max="14880" width="33.5703125" style="105" customWidth="1"/>
    <col min="14881" max="14881" width="50" style="105" customWidth="1"/>
    <col min="14882" max="14882" width="50.5703125" style="105" customWidth="1"/>
    <col min="14883" max="14883" width="49.140625" style="105" customWidth="1"/>
    <col min="14884" max="14884" width="58.5703125" style="105" customWidth="1"/>
    <col min="14885" max="14885" width="59" style="105" customWidth="1"/>
    <col min="14886" max="14886" width="57.5703125" style="105" customWidth="1"/>
    <col min="14887" max="14887" width="58.7109375" style="105" customWidth="1"/>
    <col min="14888" max="14888" width="59.140625" style="105" customWidth="1"/>
    <col min="14889" max="14889" width="57.7109375" style="105" customWidth="1"/>
    <col min="14890" max="14890" width="20.5703125" style="105" customWidth="1"/>
    <col min="14891" max="14891" width="20.85546875" style="105" customWidth="1"/>
    <col min="14892" max="14892" width="26.5703125" style="105" customWidth="1"/>
    <col min="14893" max="14893" width="24" style="105" customWidth="1"/>
    <col min="14894" max="14894" width="22" style="105" customWidth="1"/>
    <col min="14895" max="14895" width="22.140625" style="105" customWidth="1"/>
    <col min="14896" max="14896" width="27.85546875" style="105" customWidth="1"/>
    <col min="14897" max="14897" width="40.5703125" style="105" customWidth="1"/>
    <col min="14898" max="14898" width="147.5703125" style="105" customWidth="1"/>
    <col min="14899" max="15104" width="9.140625" style="105"/>
    <col min="15105" max="15105" width="9.42578125" style="105" customWidth="1"/>
    <col min="15106" max="15106" width="83.140625" style="105" customWidth="1"/>
    <col min="15107" max="15107" width="31.28515625" style="105" customWidth="1"/>
    <col min="15108" max="15108" width="35.42578125" style="105" customWidth="1"/>
    <col min="15109" max="15109" width="86.42578125" style="105" customWidth="1"/>
    <col min="15110" max="15110" width="6" style="105" customWidth="1"/>
    <col min="15111" max="15111" width="6.28515625" style="105" customWidth="1"/>
    <col min="15112" max="15112" width="18.7109375" style="105" customWidth="1"/>
    <col min="15113" max="15113" width="46.7109375" style="105" customWidth="1"/>
    <col min="15114" max="15114" width="17.85546875" style="105" customWidth="1"/>
    <col min="15115" max="15115" width="19.42578125" style="105" customWidth="1"/>
    <col min="15116" max="15116" width="19.85546875" style="105" customWidth="1"/>
    <col min="15117" max="15117" width="22.7109375" style="105" customWidth="1"/>
    <col min="15118" max="15118" width="23.7109375" style="105" customWidth="1"/>
    <col min="15119" max="15119" width="48.7109375" style="105" customWidth="1"/>
    <col min="15120" max="15120" width="37.5703125" style="105" customWidth="1"/>
    <col min="15121" max="15121" width="40.28515625" style="105" customWidth="1"/>
    <col min="15122" max="15122" width="37.85546875" style="105" customWidth="1"/>
    <col min="15123" max="15123" width="40.5703125" style="105" customWidth="1"/>
    <col min="15124" max="15124" width="58.7109375" style="105" customWidth="1"/>
    <col min="15125" max="15125" width="28.85546875" style="105" customWidth="1"/>
    <col min="15126" max="15126" width="14.85546875" style="105" customWidth="1"/>
    <col min="15127" max="15127" width="42.85546875" style="105" customWidth="1"/>
    <col min="15128" max="15128" width="35.5703125" style="105" customWidth="1"/>
    <col min="15129" max="15129" width="33.140625" style="105" customWidth="1"/>
    <col min="15130" max="15130" width="23.140625" style="105" customWidth="1"/>
    <col min="15131" max="15131" width="31.42578125" style="105" customWidth="1"/>
    <col min="15132" max="15132" width="29.42578125" style="105" customWidth="1"/>
    <col min="15133" max="15133" width="22.42578125" style="105" customWidth="1"/>
    <col min="15134" max="15134" width="20.28515625" style="105" customWidth="1"/>
    <col min="15135" max="15135" width="24" style="105" customWidth="1"/>
    <col min="15136" max="15136" width="33.5703125" style="105" customWidth="1"/>
    <col min="15137" max="15137" width="50" style="105" customWidth="1"/>
    <col min="15138" max="15138" width="50.5703125" style="105" customWidth="1"/>
    <col min="15139" max="15139" width="49.140625" style="105" customWidth="1"/>
    <col min="15140" max="15140" width="58.5703125" style="105" customWidth="1"/>
    <col min="15141" max="15141" width="59" style="105" customWidth="1"/>
    <col min="15142" max="15142" width="57.5703125" style="105" customWidth="1"/>
    <col min="15143" max="15143" width="58.7109375" style="105" customWidth="1"/>
    <col min="15144" max="15144" width="59.140625" style="105" customWidth="1"/>
    <col min="15145" max="15145" width="57.7109375" style="105" customWidth="1"/>
    <col min="15146" max="15146" width="20.5703125" style="105" customWidth="1"/>
    <col min="15147" max="15147" width="20.85546875" style="105" customWidth="1"/>
    <col min="15148" max="15148" width="26.5703125" style="105" customWidth="1"/>
    <col min="15149" max="15149" width="24" style="105" customWidth="1"/>
    <col min="15150" max="15150" width="22" style="105" customWidth="1"/>
    <col min="15151" max="15151" width="22.140625" style="105" customWidth="1"/>
    <col min="15152" max="15152" width="27.85546875" style="105" customWidth="1"/>
    <col min="15153" max="15153" width="40.5703125" style="105" customWidth="1"/>
    <col min="15154" max="15154" width="147.5703125" style="105" customWidth="1"/>
    <col min="15155" max="15360" width="9.140625" style="105"/>
    <col min="15361" max="15361" width="9.42578125" style="105" customWidth="1"/>
    <col min="15362" max="15362" width="83.140625" style="105" customWidth="1"/>
    <col min="15363" max="15363" width="31.28515625" style="105" customWidth="1"/>
    <col min="15364" max="15364" width="35.42578125" style="105" customWidth="1"/>
    <col min="15365" max="15365" width="86.42578125" style="105" customWidth="1"/>
    <col min="15366" max="15366" width="6" style="105" customWidth="1"/>
    <col min="15367" max="15367" width="6.28515625" style="105" customWidth="1"/>
    <col min="15368" max="15368" width="18.7109375" style="105" customWidth="1"/>
    <col min="15369" max="15369" width="46.7109375" style="105" customWidth="1"/>
    <col min="15370" max="15370" width="17.85546875" style="105" customWidth="1"/>
    <col min="15371" max="15371" width="19.42578125" style="105" customWidth="1"/>
    <col min="15372" max="15372" width="19.85546875" style="105" customWidth="1"/>
    <col min="15373" max="15373" width="22.7109375" style="105" customWidth="1"/>
    <col min="15374" max="15374" width="23.7109375" style="105" customWidth="1"/>
    <col min="15375" max="15375" width="48.7109375" style="105" customWidth="1"/>
    <col min="15376" max="15376" width="37.5703125" style="105" customWidth="1"/>
    <col min="15377" max="15377" width="40.28515625" style="105" customWidth="1"/>
    <col min="15378" max="15378" width="37.85546875" style="105" customWidth="1"/>
    <col min="15379" max="15379" width="40.5703125" style="105" customWidth="1"/>
    <col min="15380" max="15380" width="58.7109375" style="105" customWidth="1"/>
    <col min="15381" max="15381" width="28.85546875" style="105" customWidth="1"/>
    <col min="15382" max="15382" width="14.85546875" style="105" customWidth="1"/>
    <col min="15383" max="15383" width="42.85546875" style="105" customWidth="1"/>
    <col min="15384" max="15384" width="35.5703125" style="105" customWidth="1"/>
    <col min="15385" max="15385" width="33.140625" style="105" customWidth="1"/>
    <col min="15386" max="15386" width="23.140625" style="105" customWidth="1"/>
    <col min="15387" max="15387" width="31.42578125" style="105" customWidth="1"/>
    <col min="15388" max="15388" width="29.42578125" style="105" customWidth="1"/>
    <col min="15389" max="15389" width="22.42578125" style="105" customWidth="1"/>
    <col min="15390" max="15390" width="20.28515625" style="105" customWidth="1"/>
    <col min="15391" max="15391" width="24" style="105" customWidth="1"/>
    <col min="15392" max="15392" width="33.5703125" style="105" customWidth="1"/>
    <col min="15393" max="15393" width="50" style="105" customWidth="1"/>
    <col min="15394" max="15394" width="50.5703125" style="105" customWidth="1"/>
    <col min="15395" max="15395" width="49.140625" style="105" customWidth="1"/>
    <col min="15396" max="15396" width="58.5703125" style="105" customWidth="1"/>
    <col min="15397" max="15397" width="59" style="105" customWidth="1"/>
    <col min="15398" max="15398" width="57.5703125" style="105" customWidth="1"/>
    <col min="15399" max="15399" width="58.7109375" style="105" customWidth="1"/>
    <col min="15400" max="15400" width="59.140625" style="105" customWidth="1"/>
    <col min="15401" max="15401" width="57.7109375" style="105" customWidth="1"/>
    <col min="15402" max="15402" width="20.5703125" style="105" customWidth="1"/>
    <col min="15403" max="15403" width="20.85546875" style="105" customWidth="1"/>
    <col min="15404" max="15404" width="26.5703125" style="105" customWidth="1"/>
    <col min="15405" max="15405" width="24" style="105" customWidth="1"/>
    <col min="15406" max="15406" width="22" style="105" customWidth="1"/>
    <col min="15407" max="15407" width="22.140625" style="105" customWidth="1"/>
    <col min="15408" max="15408" width="27.85546875" style="105" customWidth="1"/>
    <col min="15409" max="15409" width="40.5703125" style="105" customWidth="1"/>
    <col min="15410" max="15410" width="147.5703125" style="105" customWidth="1"/>
    <col min="15411" max="15616" width="9.140625" style="105"/>
    <col min="15617" max="15617" width="9.42578125" style="105" customWidth="1"/>
    <col min="15618" max="15618" width="83.140625" style="105" customWidth="1"/>
    <col min="15619" max="15619" width="31.28515625" style="105" customWidth="1"/>
    <col min="15620" max="15620" width="35.42578125" style="105" customWidth="1"/>
    <col min="15621" max="15621" width="86.42578125" style="105" customWidth="1"/>
    <col min="15622" max="15622" width="6" style="105" customWidth="1"/>
    <col min="15623" max="15623" width="6.28515625" style="105" customWidth="1"/>
    <col min="15624" max="15624" width="18.7109375" style="105" customWidth="1"/>
    <col min="15625" max="15625" width="46.7109375" style="105" customWidth="1"/>
    <col min="15626" max="15626" width="17.85546875" style="105" customWidth="1"/>
    <col min="15627" max="15627" width="19.42578125" style="105" customWidth="1"/>
    <col min="15628" max="15628" width="19.85546875" style="105" customWidth="1"/>
    <col min="15629" max="15629" width="22.7109375" style="105" customWidth="1"/>
    <col min="15630" max="15630" width="23.7109375" style="105" customWidth="1"/>
    <col min="15631" max="15631" width="48.7109375" style="105" customWidth="1"/>
    <col min="15632" max="15632" width="37.5703125" style="105" customWidth="1"/>
    <col min="15633" max="15633" width="40.28515625" style="105" customWidth="1"/>
    <col min="15634" max="15634" width="37.85546875" style="105" customWidth="1"/>
    <col min="15635" max="15635" width="40.5703125" style="105" customWidth="1"/>
    <col min="15636" max="15636" width="58.7109375" style="105" customWidth="1"/>
    <col min="15637" max="15637" width="28.85546875" style="105" customWidth="1"/>
    <col min="15638" max="15638" width="14.85546875" style="105" customWidth="1"/>
    <col min="15639" max="15639" width="42.85546875" style="105" customWidth="1"/>
    <col min="15640" max="15640" width="35.5703125" style="105" customWidth="1"/>
    <col min="15641" max="15641" width="33.140625" style="105" customWidth="1"/>
    <col min="15642" max="15642" width="23.140625" style="105" customWidth="1"/>
    <col min="15643" max="15643" width="31.42578125" style="105" customWidth="1"/>
    <col min="15644" max="15644" width="29.42578125" style="105" customWidth="1"/>
    <col min="15645" max="15645" width="22.42578125" style="105" customWidth="1"/>
    <col min="15646" max="15646" width="20.28515625" style="105" customWidth="1"/>
    <col min="15647" max="15647" width="24" style="105" customWidth="1"/>
    <col min="15648" max="15648" width="33.5703125" style="105" customWidth="1"/>
    <col min="15649" max="15649" width="50" style="105" customWidth="1"/>
    <col min="15650" max="15650" width="50.5703125" style="105" customWidth="1"/>
    <col min="15651" max="15651" width="49.140625" style="105" customWidth="1"/>
    <col min="15652" max="15652" width="58.5703125" style="105" customWidth="1"/>
    <col min="15653" max="15653" width="59" style="105" customWidth="1"/>
    <col min="15654" max="15654" width="57.5703125" style="105" customWidth="1"/>
    <col min="15655" max="15655" width="58.7109375" style="105" customWidth="1"/>
    <col min="15656" max="15656" width="59.140625" style="105" customWidth="1"/>
    <col min="15657" max="15657" width="57.7109375" style="105" customWidth="1"/>
    <col min="15658" max="15658" width="20.5703125" style="105" customWidth="1"/>
    <col min="15659" max="15659" width="20.85546875" style="105" customWidth="1"/>
    <col min="15660" max="15660" width="26.5703125" style="105" customWidth="1"/>
    <col min="15661" max="15661" width="24" style="105" customWidth="1"/>
    <col min="15662" max="15662" width="22" style="105" customWidth="1"/>
    <col min="15663" max="15663" width="22.140625" style="105" customWidth="1"/>
    <col min="15664" max="15664" width="27.85546875" style="105" customWidth="1"/>
    <col min="15665" max="15665" width="40.5703125" style="105" customWidth="1"/>
    <col min="15666" max="15666" width="147.5703125" style="105" customWidth="1"/>
    <col min="15667" max="15872" width="9.140625" style="105"/>
    <col min="15873" max="15873" width="9.42578125" style="105" customWidth="1"/>
    <col min="15874" max="15874" width="83.140625" style="105" customWidth="1"/>
    <col min="15875" max="15875" width="31.28515625" style="105" customWidth="1"/>
    <col min="15876" max="15876" width="35.42578125" style="105" customWidth="1"/>
    <col min="15877" max="15877" width="86.42578125" style="105" customWidth="1"/>
    <col min="15878" max="15878" width="6" style="105" customWidth="1"/>
    <col min="15879" max="15879" width="6.28515625" style="105" customWidth="1"/>
    <col min="15880" max="15880" width="18.7109375" style="105" customWidth="1"/>
    <col min="15881" max="15881" width="46.7109375" style="105" customWidth="1"/>
    <col min="15882" max="15882" width="17.85546875" style="105" customWidth="1"/>
    <col min="15883" max="15883" width="19.42578125" style="105" customWidth="1"/>
    <col min="15884" max="15884" width="19.85546875" style="105" customWidth="1"/>
    <col min="15885" max="15885" width="22.7109375" style="105" customWidth="1"/>
    <col min="15886" max="15886" width="23.7109375" style="105" customWidth="1"/>
    <col min="15887" max="15887" width="48.7109375" style="105" customWidth="1"/>
    <col min="15888" max="15888" width="37.5703125" style="105" customWidth="1"/>
    <col min="15889" max="15889" width="40.28515625" style="105" customWidth="1"/>
    <col min="15890" max="15890" width="37.85546875" style="105" customWidth="1"/>
    <col min="15891" max="15891" width="40.5703125" style="105" customWidth="1"/>
    <col min="15892" max="15892" width="58.7109375" style="105" customWidth="1"/>
    <col min="15893" max="15893" width="28.85546875" style="105" customWidth="1"/>
    <col min="15894" max="15894" width="14.85546875" style="105" customWidth="1"/>
    <col min="15895" max="15895" width="42.85546875" style="105" customWidth="1"/>
    <col min="15896" max="15896" width="35.5703125" style="105" customWidth="1"/>
    <col min="15897" max="15897" width="33.140625" style="105" customWidth="1"/>
    <col min="15898" max="15898" width="23.140625" style="105" customWidth="1"/>
    <col min="15899" max="15899" width="31.42578125" style="105" customWidth="1"/>
    <col min="15900" max="15900" width="29.42578125" style="105" customWidth="1"/>
    <col min="15901" max="15901" width="22.42578125" style="105" customWidth="1"/>
    <col min="15902" max="15902" width="20.28515625" style="105" customWidth="1"/>
    <col min="15903" max="15903" width="24" style="105" customWidth="1"/>
    <col min="15904" max="15904" width="33.5703125" style="105" customWidth="1"/>
    <col min="15905" max="15905" width="50" style="105" customWidth="1"/>
    <col min="15906" max="15906" width="50.5703125" style="105" customWidth="1"/>
    <col min="15907" max="15907" width="49.140625" style="105" customWidth="1"/>
    <col min="15908" max="15908" width="58.5703125" style="105" customWidth="1"/>
    <col min="15909" max="15909" width="59" style="105" customWidth="1"/>
    <col min="15910" max="15910" width="57.5703125" style="105" customWidth="1"/>
    <col min="15911" max="15911" width="58.7109375" style="105" customWidth="1"/>
    <col min="15912" max="15912" width="59.140625" style="105" customWidth="1"/>
    <col min="15913" max="15913" width="57.7109375" style="105" customWidth="1"/>
    <col min="15914" max="15914" width="20.5703125" style="105" customWidth="1"/>
    <col min="15915" max="15915" width="20.85546875" style="105" customWidth="1"/>
    <col min="15916" max="15916" width="26.5703125" style="105" customWidth="1"/>
    <col min="15917" max="15917" width="24" style="105" customWidth="1"/>
    <col min="15918" max="15918" width="22" style="105" customWidth="1"/>
    <col min="15919" max="15919" width="22.140625" style="105" customWidth="1"/>
    <col min="15920" max="15920" width="27.85546875" style="105" customWidth="1"/>
    <col min="15921" max="15921" width="40.5703125" style="105" customWidth="1"/>
    <col min="15922" max="15922" width="147.5703125" style="105" customWidth="1"/>
    <col min="15923" max="16128" width="9.140625" style="105"/>
    <col min="16129" max="16129" width="9.42578125" style="105" customWidth="1"/>
    <col min="16130" max="16130" width="83.140625" style="105" customWidth="1"/>
    <col min="16131" max="16131" width="31.28515625" style="105" customWidth="1"/>
    <col min="16132" max="16132" width="35.42578125" style="105" customWidth="1"/>
    <col min="16133" max="16133" width="86.42578125" style="105" customWidth="1"/>
    <col min="16134" max="16134" width="6" style="105" customWidth="1"/>
    <col min="16135" max="16135" width="6.28515625" style="105" customWidth="1"/>
    <col min="16136" max="16136" width="18.7109375" style="105" customWidth="1"/>
    <col min="16137" max="16137" width="46.7109375" style="105" customWidth="1"/>
    <col min="16138" max="16138" width="17.85546875" style="105" customWidth="1"/>
    <col min="16139" max="16139" width="19.42578125" style="105" customWidth="1"/>
    <col min="16140" max="16140" width="19.85546875" style="105" customWidth="1"/>
    <col min="16141" max="16141" width="22.7109375" style="105" customWidth="1"/>
    <col min="16142" max="16142" width="23.7109375" style="105" customWidth="1"/>
    <col min="16143" max="16143" width="48.7109375" style="105" customWidth="1"/>
    <col min="16144" max="16144" width="37.5703125" style="105" customWidth="1"/>
    <col min="16145" max="16145" width="40.28515625" style="105" customWidth="1"/>
    <col min="16146" max="16146" width="37.85546875" style="105" customWidth="1"/>
    <col min="16147" max="16147" width="40.5703125" style="105" customWidth="1"/>
    <col min="16148" max="16148" width="58.7109375" style="105" customWidth="1"/>
    <col min="16149" max="16149" width="28.85546875" style="105" customWidth="1"/>
    <col min="16150" max="16150" width="14.85546875" style="105" customWidth="1"/>
    <col min="16151" max="16151" width="42.85546875" style="105" customWidth="1"/>
    <col min="16152" max="16152" width="35.5703125" style="105" customWidth="1"/>
    <col min="16153" max="16153" width="33.140625" style="105" customWidth="1"/>
    <col min="16154" max="16154" width="23.140625" style="105" customWidth="1"/>
    <col min="16155" max="16155" width="31.42578125" style="105" customWidth="1"/>
    <col min="16156" max="16156" width="29.42578125" style="105" customWidth="1"/>
    <col min="16157" max="16157" width="22.42578125" style="105" customWidth="1"/>
    <col min="16158" max="16158" width="20.28515625" style="105" customWidth="1"/>
    <col min="16159" max="16159" width="24" style="105" customWidth="1"/>
    <col min="16160" max="16160" width="33.5703125" style="105" customWidth="1"/>
    <col min="16161" max="16161" width="50" style="105" customWidth="1"/>
    <col min="16162" max="16162" width="50.5703125" style="105" customWidth="1"/>
    <col min="16163" max="16163" width="49.140625" style="105" customWidth="1"/>
    <col min="16164" max="16164" width="58.5703125" style="105" customWidth="1"/>
    <col min="16165" max="16165" width="59" style="105" customWidth="1"/>
    <col min="16166" max="16166" width="57.5703125" style="105" customWidth="1"/>
    <col min="16167" max="16167" width="58.7109375" style="105" customWidth="1"/>
    <col min="16168" max="16168" width="59.140625" style="105" customWidth="1"/>
    <col min="16169" max="16169" width="57.7109375" style="105" customWidth="1"/>
    <col min="16170" max="16170" width="20.5703125" style="105" customWidth="1"/>
    <col min="16171" max="16171" width="20.85546875" style="105" customWidth="1"/>
    <col min="16172" max="16172" width="26.5703125" style="105" customWidth="1"/>
    <col min="16173" max="16173" width="24" style="105" customWidth="1"/>
    <col min="16174" max="16174" width="22" style="105" customWidth="1"/>
    <col min="16175" max="16175" width="22.140625" style="105" customWidth="1"/>
    <col min="16176" max="16176" width="27.85546875" style="105" customWidth="1"/>
    <col min="16177" max="16177" width="40.5703125" style="105" customWidth="1"/>
    <col min="16178" max="16178" width="147.5703125" style="105" customWidth="1"/>
    <col min="16179" max="16384" width="9.140625" style="105"/>
  </cols>
  <sheetData>
    <row r="1" spans="1:50" ht="15.75" x14ac:dyDescent="0.25">
      <c r="A1" s="104" t="s">
        <v>110</v>
      </c>
      <c r="B1" s="104" t="s">
        <v>111</v>
      </c>
      <c r="C1" s="104" t="s">
        <v>112</v>
      </c>
      <c r="D1" s="104" t="s">
        <v>113</v>
      </c>
      <c r="E1" s="104" t="s">
        <v>114</v>
      </c>
      <c r="F1" s="104" t="s">
        <v>115</v>
      </c>
      <c r="G1" s="104" t="s">
        <v>91</v>
      </c>
      <c r="H1" s="104" t="s">
        <v>116</v>
      </c>
      <c r="I1" s="104" t="s">
        <v>117</v>
      </c>
      <c r="J1" s="104" t="s">
        <v>118</v>
      </c>
      <c r="K1" s="104" t="s">
        <v>119</v>
      </c>
      <c r="L1" s="104" t="s">
        <v>120</v>
      </c>
      <c r="M1" s="104" t="s">
        <v>121</v>
      </c>
      <c r="N1" s="104" t="s">
        <v>122</v>
      </c>
      <c r="O1" s="104" t="s">
        <v>123</v>
      </c>
      <c r="P1" s="104" t="s">
        <v>124</v>
      </c>
      <c r="Q1" s="104" t="s">
        <v>125</v>
      </c>
      <c r="R1" s="104" t="s">
        <v>126</v>
      </c>
      <c r="S1" s="104" t="s">
        <v>127</v>
      </c>
      <c r="T1" s="104" t="s">
        <v>128</v>
      </c>
      <c r="U1" s="104" t="s">
        <v>129</v>
      </c>
      <c r="V1" s="104" t="s">
        <v>130</v>
      </c>
      <c r="W1" s="104" t="s">
        <v>131</v>
      </c>
      <c r="X1" s="104" t="s">
        <v>132</v>
      </c>
      <c r="Y1" s="104" t="s">
        <v>133</v>
      </c>
      <c r="Z1" s="104" t="s">
        <v>134</v>
      </c>
      <c r="AA1" s="104" t="s">
        <v>135</v>
      </c>
      <c r="AB1" s="104" t="s">
        <v>136</v>
      </c>
      <c r="AC1" s="104" t="s">
        <v>137</v>
      </c>
      <c r="AD1" s="104" t="s">
        <v>138</v>
      </c>
      <c r="AE1" s="104" t="s">
        <v>139</v>
      </c>
      <c r="AF1" s="104" t="s">
        <v>140</v>
      </c>
      <c r="AG1" s="104" t="s">
        <v>141</v>
      </c>
      <c r="AH1" s="104" t="s">
        <v>142</v>
      </c>
      <c r="AI1" s="104" t="s">
        <v>143</v>
      </c>
      <c r="AJ1" s="104" t="s">
        <v>144</v>
      </c>
      <c r="AK1" s="104" t="s">
        <v>145</v>
      </c>
      <c r="AL1" s="104" t="s">
        <v>146</v>
      </c>
      <c r="AM1" s="104" t="s">
        <v>147</v>
      </c>
      <c r="AN1" s="104" t="s">
        <v>148</v>
      </c>
      <c r="AO1" s="104" t="s">
        <v>149</v>
      </c>
      <c r="AP1" s="104" t="s">
        <v>150</v>
      </c>
      <c r="AQ1" s="104" t="s">
        <v>151</v>
      </c>
      <c r="AR1" s="104" t="s">
        <v>152</v>
      </c>
      <c r="AS1" s="104" t="s">
        <v>153</v>
      </c>
      <c r="AT1" s="104" t="s">
        <v>154</v>
      </c>
      <c r="AU1" s="104" t="s">
        <v>155</v>
      </c>
      <c r="AV1" s="104" t="s">
        <v>156</v>
      </c>
      <c r="AW1" s="104" t="s">
        <v>157</v>
      </c>
      <c r="AX1" s="104" t="s">
        <v>158</v>
      </c>
    </row>
    <row r="2" spans="1:50" x14ac:dyDescent="0.2">
      <c r="A2" s="105">
        <v>135</v>
      </c>
      <c r="B2" s="105" t="s">
        <v>159</v>
      </c>
      <c r="C2" s="105" t="s">
        <v>160</v>
      </c>
      <c r="D2" s="105" t="s">
        <v>161</v>
      </c>
      <c r="E2" s="105" t="s">
        <v>162</v>
      </c>
      <c r="F2" s="105">
        <v>36</v>
      </c>
      <c r="G2" s="105">
        <v>0.64</v>
      </c>
      <c r="H2" s="105" t="s">
        <v>163</v>
      </c>
      <c r="I2" s="105" t="s">
        <v>164</v>
      </c>
      <c r="J2" s="105" t="s">
        <v>165</v>
      </c>
      <c r="K2" s="105" t="s">
        <v>166</v>
      </c>
      <c r="L2" s="105">
        <v>2004</v>
      </c>
      <c r="M2" s="105">
        <v>3</v>
      </c>
      <c r="N2" s="105">
        <v>75</v>
      </c>
      <c r="O2" s="105" t="s">
        <v>167</v>
      </c>
      <c r="P2" s="105" t="s">
        <v>167</v>
      </c>
      <c r="Q2" s="105" t="s">
        <v>167</v>
      </c>
      <c r="R2" s="105" t="s">
        <v>167</v>
      </c>
      <c r="S2" s="105" t="s">
        <v>167</v>
      </c>
      <c r="T2" s="105" t="s">
        <v>168</v>
      </c>
      <c r="U2" s="105" t="s">
        <v>167</v>
      </c>
      <c r="V2" s="105" t="s">
        <v>167</v>
      </c>
      <c r="W2" s="105" t="s">
        <v>169</v>
      </c>
      <c r="X2" s="105" t="s">
        <v>167</v>
      </c>
      <c r="Y2" s="105" t="s">
        <v>167</v>
      </c>
      <c r="Z2" s="105" t="s">
        <v>167</v>
      </c>
      <c r="AA2" s="105" t="s">
        <v>167</v>
      </c>
      <c r="AB2" s="105" t="s">
        <v>167</v>
      </c>
      <c r="AC2" s="105" t="s">
        <v>167</v>
      </c>
      <c r="AD2" s="105" t="s">
        <v>167</v>
      </c>
      <c r="AE2" s="105" t="s">
        <v>168</v>
      </c>
      <c r="AF2" s="105" t="s">
        <v>167</v>
      </c>
      <c r="AG2" s="105" t="s">
        <v>167</v>
      </c>
      <c r="AH2" s="105" t="s">
        <v>167</v>
      </c>
      <c r="AI2" s="105" t="s">
        <v>167</v>
      </c>
      <c r="AJ2" s="105" t="s">
        <v>167</v>
      </c>
      <c r="AK2" s="105" t="s">
        <v>167</v>
      </c>
      <c r="AL2" s="105" t="s">
        <v>167</v>
      </c>
      <c r="AM2" s="105" t="s">
        <v>167</v>
      </c>
      <c r="AN2" s="105" t="s">
        <v>167</v>
      </c>
      <c r="AO2" s="105" t="s">
        <v>167</v>
      </c>
      <c r="AP2" s="105">
        <v>2</v>
      </c>
      <c r="AQ2" s="105" t="s">
        <v>167</v>
      </c>
      <c r="AR2" s="105" t="s">
        <v>167</v>
      </c>
      <c r="AS2" s="105" t="s">
        <v>167</v>
      </c>
      <c r="AT2" s="105" t="s">
        <v>167</v>
      </c>
      <c r="AU2" s="105" t="s">
        <v>167</v>
      </c>
      <c r="AV2" s="105" t="s">
        <v>167</v>
      </c>
      <c r="AW2" s="106">
        <v>40148</v>
      </c>
      <c r="AX2" s="105" t="s">
        <v>167</v>
      </c>
    </row>
    <row r="3" spans="1:50" x14ac:dyDescent="0.2">
      <c r="A3" s="105">
        <v>136</v>
      </c>
      <c r="B3" s="105" t="s">
        <v>159</v>
      </c>
      <c r="C3" s="105" t="s">
        <v>160</v>
      </c>
      <c r="D3" s="105" t="s">
        <v>161</v>
      </c>
      <c r="E3" s="105" t="s">
        <v>162</v>
      </c>
      <c r="F3" s="105">
        <v>46</v>
      </c>
      <c r="G3" s="105">
        <v>0.55000000000000004</v>
      </c>
      <c r="H3" s="105" t="s">
        <v>170</v>
      </c>
      <c r="I3" s="105" t="s">
        <v>164</v>
      </c>
      <c r="J3" s="105" t="s">
        <v>165</v>
      </c>
      <c r="K3" s="105" t="s">
        <v>166</v>
      </c>
      <c r="L3" s="105">
        <v>2004</v>
      </c>
      <c r="M3" s="105">
        <v>3</v>
      </c>
      <c r="N3" s="105">
        <v>75</v>
      </c>
      <c r="O3" s="105" t="s">
        <v>167</v>
      </c>
      <c r="P3" s="105" t="s">
        <v>167</v>
      </c>
      <c r="Q3" s="105" t="s">
        <v>167</v>
      </c>
      <c r="R3" s="105" t="s">
        <v>167</v>
      </c>
      <c r="S3" s="105" t="s">
        <v>167</v>
      </c>
      <c r="T3" s="105" t="s">
        <v>168</v>
      </c>
      <c r="U3" s="105" t="s">
        <v>167</v>
      </c>
      <c r="V3" s="105" t="s">
        <v>167</v>
      </c>
      <c r="W3" s="105" t="s">
        <v>169</v>
      </c>
      <c r="X3" s="105" t="s">
        <v>167</v>
      </c>
      <c r="Y3" s="105" t="s">
        <v>167</v>
      </c>
      <c r="Z3" s="105" t="s">
        <v>167</v>
      </c>
      <c r="AA3" s="105" t="s">
        <v>167</v>
      </c>
      <c r="AB3" s="105" t="s">
        <v>167</v>
      </c>
      <c r="AC3" s="105" t="s">
        <v>167</v>
      </c>
      <c r="AD3" s="105" t="s">
        <v>167</v>
      </c>
      <c r="AE3" s="105" t="s">
        <v>168</v>
      </c>
      <c r="AF3" s="105" t="s">
        <v>167</v>
      </c>
      <c r="AG3" s="105" t="s">
        <v>167</v>
      </c>
      <c r="AH3" s="105" t="s">
        <v>167</v>
      </c>
      <c r="AI3" s="105" t="s">
        <v>167</v>
      </c>
      <c r="AJ3" s="105" t="s">
        <v>167</v>
      </c>
      <c r="AK3" s="105" t="s">
        <v>167</v>
      </c>
      <c r="AL3" s="105" t="s">
        <v>167</v>
      </c>
      <c r="AM3" s="105" t="s">
        <v>167</v>
      </c>
      <c r="AN3" s="105" t="s">
        <v>167</v>
      </c>
      <c r="AO3" s="105" t="s">
        <v>167</v>
      </c>
      <c r="AP3" s="105">
        <v>2</v>
      </c>
      <c r="AQ3" s="105" t="s">
        <v>167</v>
      </c>
      <c r="AR3" s="105" t="s">
        <v>167</v>
      </c>
      <c r="AS3" s="105" t="s">
        <v>167</v>
      </c>
      <c r="AT3" s="105" t="s">
        <v>167</v>
      </c>
      <c r="AU3" s="105" t="s">
        <v>167</v>
      </c>
      <c r="AV3" s="105" t="s">
        <v>167</v>
      </c>
      <c r="AW3" s="106">
        <v>40148</v>
      </c>
      <c r="AX3" s="105" t="s">
        <v>167</v>
      </c>
    </row>
    <row r="4" spans="1:50" x14ac:dyDescent="0.2">
      <c r="A4" s="105">
        <v>137</v>
      </c>
      <c r="B4" s="105" t="s">
        <v>159</v>
      </c>
      <c r="C4" s="105" t="s">
        <v>160</v>
      </c>
      <c r="D4" s="105" t="s">
        <v>161</v>
      </c>
      <c r="E4" s="105" t="s">
        <v>162</v>
      </c>
      <c r="F4" s="105">
        <v>30</v>
      </c>
      <c r="G4" s="105">
        <v>0.7</v>
      </c>
      <c r="H4" s="105" t="s">
        <v>163</v>
      </c>
      <c r="I4" s="105" t="s">
        <v>164</v>
      </c>
      <c r="J4" s="105" t="s">
        <v>165</v>
      </c>
      <c r="K4" s="105" t="s">
        <v>166</v>
      </c>
      <c r="L4" s="105">
        <v>2004</v>
      </c>
      <c r="M4" s="105">
        <v>3</v>
      </c>
      <c r="N4" s="105">
        <v>75</v>
      </c>
      <c r="O4" s="105" t="s">
        <v>167</v>
      </c>
      <c r="P4" s="105" t="s">
        <v>167</v>
      </c>
      <c r="Q4" s="105" t="s">
        <v>167</v>
      </c>
      <c r="R4" s="105" t="s">
        <v>167</v>
      </c>
      <c r="S4" s="105" t="s">
        <v>167</v>
      </c>
      <c r="T4" s="105" t="s">
        <v>168</v>
      </c>
      <c r="U4" s="105" t="s">
        <v>167</v>
      </c>
      <c r="V4" s="105" t="s">
        <v>167</v>
      </c>
      <c r="W4" s="105" t="s">
        <v>169</v>
      </c>
      <c r="X4" s="105" t="s">
        <v>167</v>
      </c>
      <c r="Y4" s="105" t="s">
        <v>167</v>
      </c>
      <c r="Z4" s="105" t="s">
        <v>167</v>
      </c>
      <c r="AA4" s="105" t="s">
        <v>167</v>
      </c>
      <c r="AB4" s="105" t="s">
        <v>167</v>
      </c>
      <c r="AC4" s="105" t="s">
        <v>167</v>
      </c>
      <c r="AD4" s="105" t="s">
        <v>167</v>
      </c>
      <c r="AE4" s="105" t="s">
        <v>168</v>
      </c>
      <c r="AF4" s="105" t="s">
        <v>167</v>
      </c>
      <c r="AG4" s="105" t="s">
        <v>167</v>
      </c>
      <c r="AH4" s="105" t="s">
        <v>167</v>
      </c>
      <c r="AI4" s="105" t="s">
        <v>167</v>
      </c>
      <c r="AJ4" s="105" t="s">
        <v>167</v>
      </c>
      <c r="AK4" s="105" t="s">
        <v>167</v>
      </c>
      <c r="AL4" s="105" t="s">
        <v>167</v>
      </c>
      <c r="AM4" s="105" t="s">
        <v>167</v>
      </c>
      <c r="AN4" s="105" t="s">
        <v>167</v>
      </c>
      <c r="AO4" s="105" t="s">
        <v>167</v>
      </c>
      <c r="AP4" s="105">
        <v>2</v>
      </c>
      <c r="AQ4" s="105" t="s">
        <v>167</v>
      </c>
      <c r="AR4" s="105" t="s">
        <v>167</v>
      </c>
      <c r="AS4" s="105" t="s">
        <v>167</v>
      </c>
      <c r="AT4" s="105" t="s">
        <v>167</v>
      </c>
      <c r="AU4" s="105" t="s">
        <v>167</v>
      </c>
      <c r="AV4" s="105" t="s">
        <v>167</v>
      </c>
      <c r="AW4" s="106">
        <v>40148</v>
      </c>
      <c r="AX4" s="105" t="s">
        <v>167</v>
      </c>
    </row>
    <row r="5" spans="1:50" x14ac:dyDescent="0.2">
      <c r="A5" s="105">
        <v>9020</v>
      </c>
      <c r="B5" s="105" t="s">
        <v>171</v>
      </c>
      <c r="C5" s="105" t="s">
        <v>160</v>
      </c>
      <c r="D5" s="105" t="s">
        <v>161</v>
      </c>
      <c r="E5" s="105" t="s">
        <v>172</v>
      </c>
      <c r="F5" s="105">
        <v>54.7</v>
      </c>
      <c r="G5" s="105">
        <v>0.45300000000000001</v>
      </c>
      <c r="H5" s="105" t="s">
        <v>170</v>
      </c>
      <c r="I5" s="105" t="s">
        <v>163</v>
      </c>
      <c r="J5" s="105" t="s">
        <v>173</v>
      </c>
      <c r="K5" s="105" t="s">
        <v>174</v>
      </c>
      <c r="L5" s="105">
        <v>2017</v>
      </c>
      <c r="M5" s="105">
        <v>3</v>
      </c>
      <c r="N5" s="105">
        <v>95</v>
      </c>
      <c r="O5" s="105" t="s">
        <v>175</v>
      </c>
      <c r="P5" s="105" t="s">
        <v>167</v>
      </c>
      <c r="Q5" s="105">
        <v>16.7</v>
      </c>
      <c r="R5" s="105" t="s">
        <v>167</v>
      </c>
      <c r="S5" s="105">
        <v>0.16700000000000001</v>
      </c>
      <c r="T5" s="105" t="s">
        <v>168</v>
      </c>
      <c r="U5" s="105" t="s">
        <v>176</v>
      </c>
      <c r="V5" s="105" t="s">
        <v>167</v>
      </c>
      <c r="W5" s="105" t="s">
        <v>177</v>
      </c>
      <c r="X5" s="105" t="s">
        <v>178</v>
      </c>
      <c r="Y5" s="105" t="s">
        <v>179</v>
      </c>
      <c r="Z5" s="105" t="s">
        <v>180</v>
      </c>
      <c r="AA5" s="105" t="s">
        <v>167</v>
      </c>
      <c r="AB5" s="105" t="s">
        <v>167</v>
      </c>
      <c r="AC5" s="105">
        <v>2004</v>
      </c>
      <c r="AD5" s="105">
        <v>2013</v>
      </c>
      <c r="AE5" s="105" t="s">
        <v>168</v>
      </c>
      <c r="AF5" s="105" t="s">
        <v>181</v>
      </c>
      <c r="AG5" s="105">
        <v>6634</v>
      </c>
      <c r="AH5" s="105">
        <v>48791</v>
      </c>
      <c r="AI5" s="105">
        <v>20673</v>
      </c>
      <c r="AJ5" s="105" t="s">
        <v>167</v>
      </c>
      <c r="AK5" s="105" t="s">
        <v>167</v>
      </c>
      <c r="AL5" s="105" t="s">
        <v>167</v>
      </c>
      <c r="AM5" s="105" t="s">
        <v>167</v>
      </c>
      <c r="AN5" s="105" t="s">
        <v>167</v>
      </c>
      <c r="AO5" s="105" t="s">
        <v>167</v>
      </c>
      <c r="AP5" s="105" t="s">
        <v>182</v>
      </c>
      <c r="AQ5" s="105" t="s">
        <v>167</v>
      </c>
      <c r="AR5" s="105" t="s">
        <v>167</v>
      </c>
      <c r="AS5" s="105" t="s">
        <v>167</v>
      </c>
      <c r="AT5" s="105" t="s">
        <v>167</v>
      </c>
      <c r="AU5" s="105" t="s">
        <v>163</v>
      </c>
      <c r="AV5" s="105" t="s">
        <v>167</v>
      </c>
      <c r="AW5" s="106">
        <v>43056</v>
      </c>
      <c r="AX5" s="105" t="s">
        <v>183</v>
      </c>
    </row>
    <row r="6" spans="1:50" x14ac:dyDescent="0.2">
      <c r="A6" s="105">
        <v>9021</v>
      </c>
      <c r="B6" s="105" t="s">
        <v>171</v>
      </c>
      <c r="C6" s="105" t="s">
        <v>160</v>
      </c>
      <c r="D6" s="105" t="s">
        <v>161</v>
      </c>
      <c r="E6" s="105" t="s">
        <v>184</v>
      </c>
      <c r="F6" s="105">
        <v>56.8</v>
      </c>
      <c r="G6" s="105">
        <v>0.432</v>
      </c>
      <c r="H6" s="105" t="s">
        <v>170</v>
      </c>
      <c r="I6" s="105" t="s">
        <v>163</v>
      </c>
      <c r="J6" s="105" t="s">
        <v>173</v>
      </c>
      <c r="K6" s="105" t="s">
        <v>174</v>
      </c>
      <c r="L6" s="105">
        <v>2017</v>
      </c>
      <c r="M6" s="105">
        <v>4</v>
      </c>
      <c r="N6" s="105">
        <v>125</v>
      </c>
      <c r="O6" s="105" t="s">
        <v>185</v>
      </c>
      <c r="P6" s="105" t="s">
        <v>167</v>
      </c>
      <c r="Q6" s="105">
        <v>13.4</v>
      </c>
      <c r="R6" s="105" t="s">
        <v>167</v>
      </c>
      <c r="S6" s="105">
        <v>0.13400000000000001</v>
      </c>
      <c r="T6" s="105" t="s">
        <v>168</v>
      </c>
      <c r="U6" s="105" t="s">
        <v>176</v>
      </c>
      <c r="V6" s="105" t="s">
        <v>167</v>
      </c>
      <c r="W6" s="105" t="s">
        <v>169</v>
      </c>
      <c r="X6" s="105" t="s">
        <v>167</v>
      </c>
      <c r="Y6" s="105" t="s">
        <v>167</v>
      </c>
      <c r="Z6" s="105" t="s">
        <v>167</v>
      </c>
      <c r="AA6" s="105" t="s">
        <v>167</v>
      </c>
      <c r="AB6" s="105" t="s">
        <v>167</v>
      </c>
      <c r="AC6" s="105">
        <v>2004</v>
      </c>
      <c r="AD6" s="105">
        <v>2013</v>
      </c>
      <c r="AE6" s="105" t="s">
        <v>168</v>
      </c>
      <c r="AF6" s="105" t="s">
        <v>181</v>
      </c>
      <c r="AG6" s="105">
        <v>6634</v>
      </c>
      <c r="AH6" s="105">
        <v>48791</v>
      </c>
      <c r="AI6" s="105">
        <v>20673</v>
      </c>
      <c r="AJ6" s="105" t="s">
        <v>167</v>
      </c>
      <c r="AK6" s="105" t="s">
        <v>167</v>
      </c>
      <c r="AL6" s="105" t="s">
        <v>167</v>
      </c>
      <c r="AM6" s="105" t="s">
        <v>167</v>
      </c>
      <c r="AN6" s="105" t="s">
        <v>167</v>
      </c>
      <c r="AO6" s="105" t="s">
        <v>167</v>
      </c>
      <c r="AP6" s="105" t="s">
        <v>182</v>
      </c>
      <c r="AQ6" s="105" t="s">
        <v>167</v>
      </c>
      <c r="AR6" s="105" t="s">
        <v>167</v>
      </c>
      <c r="AS6" s="105" t="s">
        <v>167</v>
      </c>
      <c r="AT6" s="105" t="s">
        <v>167</v>
      </c>
      <c r="AU6" s="105" t="s">
        <v>163</v>
      </c>
      <c r="AV6" s="105" t="s">
        <v>167</v>
      </c>
      <c r="AW6" s="106">
        <v>43056</v>
      </c>
      <c r="AX6" s="105" t="s">
        <v>183</v>
      </c>
    </row>
    <row r="7" spans="1:50" x14ac:dyDescent="0.2">
      <c r="A7" s="105">
        <v>9022</v>
      </c>
      <c r="B7" s="105" t="s">
        <v>171</v>
      </c>
      <c r="C7" s="105" t="s">
        <v>160</v>
      </c>
      <c r="D7" s="105" t="s">
        <v>161</v>
      </c>
      <c r="E7" s="105" t="s">
        <v>184</v>
      </c>
      <c r="F7" s="105">
        <v>18</v>
      </c>
      <c r="G7" s="105">
        <v>0.82</v>
      </c>
      <c r="H7" s="105" t="s">
        <v>163</v>
      </c>
      <c r="I7" s="105" t="s">
        <v>163</v>
      </c>
      <c r="J7" s="105" t="s">
        <v>173</v>
      </c>
      <c r="K7" s="105" t="s">
        <v>174</v>
      </c>
      <c r="L7" s="105">
        <v>2017</v>
      </c>
      <c r="M7" s="105">
        <v>4</v>
      </c>
      <c r="N7" s="105">
        <v>110</v>
      </c>
      <c r="O7" s="105" t="s">
        <v>185</v>
      </c>
      <c r="P7" s="105" t="s">
        <v>167</v>
      </c>
      <c r="Q7" s="105">
        <v>7.8</v>
      </c>
      <c r="R7" s="105" t="s">
        <v>167</v>
      </c>
      <c r="S7" s="105">
        <v>7.8E-2</v>
      </c>
      <c r="T7" s="105" t="s">
        <v>168</v>
      </c>
      <c r="U7" s="105" t="s">
        <v>176</v>
      </c>
      <c r="V7" s="105" t="s">
        <v>167</v>
      </c>
      <c r="W7" s="105" t="s">
        <v>186</v>
      </c>
      <c r="X7" s="105" t="s">
        <v>187</v>
      </c>
      <c r="Y7" s="105" t="s">
        <v>179</v>
      </c>
      <c r="Z7" s="105" t="s">
        <v>167</v>
      </c>
      <c r="AA7" s="105">
        <v>286</v>
      </c>
      <c r="AB7" s="105">
        <v>341</v>
      </c>
      <c r="AC7" s="105">
        <v>2004</v>
      </c>
      <c r="AD7" s="105">
        <v>2013</v>
      </c>
      <c r="AE7" s="105" t="s">
        <v>168</v>
      </c>
      <c r="AF7" s="105" t="s">
        <v>181</v>
      </c>
      <c r="AG7" s="105">
        <v>6634</v>
      </c>
      <c r="AH7" s="105">
        <v>48791</v>
      </c>
      <c r="AI7" s="105">
        <v>20673</v>
      </c>
      <c r="AJ7" s="105" t="s">
        <v>167</v>
      </c>
      <c r="AK7" s="105" t="s">
        <v>167</v>
      </c>
      <c r="AL7" s="105" t="s">
        <v>167</v>
      </c>
      <c r="AM7" s="105" t="s">
        <v>167</v>
      </c>
      <c r="AN7" s="105" t="s">
        <v>167</v>
      </c>
      <c r="AO7" s="105" t="s">
        <v>167</v>
      </c>
      <c r="AP7" s="105" t="s">
        <v>182</v>
      </c>
      <c r="AQ7" s="105" t="s">
        <v>167</v>
      </c>
      <c r="AR7" s="105" t="s">
        <v>167</v>
      </c>
      <c r="AS7" s="105" t="s">
        <v>167</v>
      </c>
      <c r="AT7" s="105" t="s">
        <v>167</v>
      </c>
      <c r="AU7" s="105" t="s">
        <v>163</v>
      </c>
      <c r="AV7" s="105" t="s">
        <v>167</v>
      </c>
      <c r="AW7" s="106">
        <v>43056</v>
      </c>
      <c r="AX7" s="105" t="s">
        <v>188</v>
      </c>
    </row>
    <row r="8" spans="1:50" x14ac:dyDescent="0.2">
      <c r="A8" s="105">
        <v>9023</v>
      </c>
      <c r="B8" s="105" t="s">
        <v>171</v>
      </c>
      <c r="C8" s="105" t="s">
        <v>160</v>
      </c>
      <c r="D8" s="105" t="s">
        <v>161</v>
      </c>
      <c r="E8" s="105" t="s">
        <v>184</v>
      </c>
      <c r="F8" s="105">
        <v>12.4</v>
      </c>
      <c r="G8" s="105">
        <v>0.876</v>
      </c>
      <c r="H8" s="105" t="s">
        <v>189</v>
      </c>
      <c r="I8" s="105" t="s">
        <v>163</v>
      </c>
      <c r="J8" s="105" t="s">
        <v>173</v>
      </c>
      <c r="K8" s="105" t="s">
        <v>174</v>
      </c>
      <c r="L8" s="105">
        <v>2017</v>
      </c>
      <c r="M8" s="105">
        <v>3</v>
      </c>
      <c r="N8" s="105">
        <v>90</v>
      </c>
      <c r="O8" s="105" t="s">
        <v>185</v>
      </c>
      <c r="P8" s="105" t="s">
        <v>167</v>
      </c>
      <c r="Q8" s="105">
        <v>11.1</v>
      </c>
      <c r="R8" s="105" t="s">
        <v>167</v>
      </c>
      <c r="S8" s="105">
        <v>0.111</v>
      </c>
      <c r="T8" s="105" t="s">
        <v>168</v>
      </c>
      <c r="U8" s="105" t="s">
        <v>176</v>
      </c>
      <c r="V8" s="105" t="s">
        <v>167</v>
      </c>
      <c r="W8" s="105" t="s">
        <v>186</v>
      </c>
      <c r="X8" s="105" t="s">
        <v>187</v>
      </c>
      <c r="Y8" s="105" t="s">
        <v>179</v>
      </c>
      <c r="Z8" s="105" t="s">
        <v>167</v>
      </c>
      <c r="AA8" s="105">
        <v>126</v>
      </c>
      <c r="AB8" s="105">
        <v>182</v>
      </c>
      <c r="AC8" s="105">
        <v>2004</v>
      </c>
      <c r="AD8" s="105">
        <v>2013</v>
      </c>
      <c r="AE8" s="105" t="s">
        <v>168</v>
      </c>
      <c r="AF8" s="105" t="s">
        <v>181</v>
      </c>
      <c r="AG8" s="105">
        <v>6634</v>
      </c>
      <c r="AH8" s="105">
        <v>48791</v>
      </c>
      <c r="AI8" s="105">
        <v>20673</v>
      </c>
      <c r="AJ8" s="105" t="s">
        <v>167</v>
      </c>
      <c r="AK8" s="105" t="s">
        <v>167</v>
      </c>
      <c r="AL8" s="105" t="s">
        <v>167</v>
      </c>
      <c r="AM8" s="105" t="s">
        <v>167</v>
      </c>
      <c r="AN8" s="105" t="s">
        <v>167</v>
      </c>
      <c r="AO8" s="105" t="s">
        <v>167</v>
      </c>
      <c r="AP8" s="105" t="s">
        <v>182</v>
      </c>
      <c r="AQ8" s="105" t="s">
        <v>167</v>
      </c>
      <c r="AR8" s="105" t="s">
        <v>167</v>
      </c>
      <c r="AS8" s="105" t="s">
        <v>167</v>
      </c>
      <c r="AT8" s="105" t="s">
        <v>167</v>
      </c>
      <c r="AU8" s="105" t="s">
        <v>167</v>
      </c>
      <c r="AV8" s="105" t="s">
        <v>167</v>
      </c>
      <c r="AW8" s="106">
        <v>43056</v>
      </c>
      <c r="AX8" s="105" t="s">
        <v>188</v>
      </c>
    </row>
    <row r="9" spans="1:50" x14ac:dyDescent="0.2">
      <c r="A9" s="105">
        <v>9024</v>
      </c>
      <c r="B9" s="105" t="s">
        <v>171</v>
      </c>
      <c r="C9" s="105" t="s">
        <v>160</v>
      </c>
      <c r="D9" s="105" t="s">
        <v>161</v>
      </c>
      <c r="E9" s="105" t="s">
        <v>190</v>
      </c>
      <c r="F9" s="105">
        <v>47.4</v>
      </c>
      <c r="G9" s="105">
        <v>0.52600000000000002</v>
      </c>
      <c r="H9" s="105" t="s">
        <v>170</v>
      </c>
      <c r="I9" s="105" t="s">
        <v>163</v>
      </c>
      <c r="J9" s="105" t="s">
        <v>173</v>
      </c>
      <c r="K9" s="105" t="s">
        <v>174</v>
      </c>
      <c r="L9" s="105">
        <v>2017</v>
      </c>
      <c r="M9" s="105">
        <v>3</v>
      </c>
      <c r="N9" s="105">
        <v>85</v>
      </c>
      <c r="O9" s="105" t="s">
        <v>191</v>
      </c>
      <c r="P9" s="105" t="s">
        <v>167</v>
      </c>
      <c r="Q9" s="105">
        <v>37.700000000000003</v>
      </c>
      <c r="R9" s="105" t="s">
        <v>167</v>
      </c>
      <c r="S9" s="105">
        <v>0.377</v>
      </c>
      <c r="T9" s="105" t="s">
        <v>168</v>
      </c>
      <c r="U9" s="105" t="s">
        <v>176</v>
      </c>
      <c r="V9" s="105" t="s">
        <v>167</v>
      </c>
      <c r="W9" s="105" t="s">
        <v>177</v>
      </c>
      <c r="X9" s="105" t="s">
        <v>178</v>
      </c>
      <c r="Y9" s="105" t="s">
        <v>179</v>
      </c>
      <c r="Z9" s="105" t="s">
        <v>192</v>
      </c>
      <c r="AA9" s="105" t="s">
        <v>167</v>
      </c>
      <c r="AB9" s="105" t="s">
        <v>167</v>
      </c>
      <c r="AC9" s="105">
        <v>2004</v>
      </c>
      <c r="AD9" s="105">
        <v>2013</v>
      </c>
      <c r="AE9" s="105" t="s">
        <v>168</v>
      </c>
      <c r="AF9" s="105" t="s">
        <v>181</v>
      </c>
      <c r="AG9" s="105">
        <v>533</v>
      </c>
      <c r="AH9" s="105">
        <v>49402</v>
      </c>
      <c r="AI9" s="105">
        <v>15958</v>
      </c>
      <c r="AJ9" s="105" t="s">
        <v>167</v>
      </c>
      <c r="AK9" s="105" t="s">
        <v>167</v>
      </c>
      <c r="AL9" s="105" t="s">
        <v>167</v>
      </c>
      <c r="AM9" s="105" t="s">
        <v>167</v>
      </c>
      <c r="AN9" s="105" t="s">
        <v>167</v>
      </c>
      <c r="AO9" s="105" t="s">
        <v>167</v>
      </c>
      <c r="AP9" s="105" t="s">
        <v>182</v>
      </c>
      <c r="AQ9" s="105" t="s">
        <v>167</v>
      </c>
      <c r="AR9" s="105" t="s">
        <v>167</v>
      </c>
      <c r="AS9" s="105" t="s">
        <v>167</v>
      </c>
      <c r="AT9" s="105" t="s">
        <v>167</v>
      </c>
      <c r="AU9" s="105" t="s">
        <v>163</v>
      </c>
      <c r="AV9" s="105" t="s">
        <v>167</v>
      </c>
      <c r="AW9" s="106">
        <v>43056</v>
      </c>
      <c r="AX9" s="105" t="s">
        <v>167</v>
      </c>
    </row>
  </sheetData>
  <pageMargins left="0.75" right="0.75" top="1" bottom="1" header="0.5" footer="0.5"/>
  <pageSetup paperSize="3" scale="1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E64A-889B-4ED4-BE2D-4BEC1CDBF37D}">
  <sheetPr filterMode="1">
    <pageSetUpPr fitToPage="1"/>
  </sheetPr>
  <dimension ref="A1:W251"/>
  <sheetViews>
    <sheetView topLeftCell="A62" workbookViewId="0">
      <selection activeCell="E249" sqref="E249"/>
    </sheetView>
  </sheetViews>
  <sheetFormatPr defaultRowHeight="15" x14ac:dyDescent="0.25"/>
  <cols>
    <col min="2" max="2" width="14.5703125" bestFit="1" customWidth="1"/>
  </cols>
  <sheetData>
    <row r="1" spans="1:23" s="16" customFormat="1" ht="45" x14ac:dyDescent="0.25">
      <c r="A1" s="16" t="s">
        <v>193</v>
      </c>
      <c r="B1" s="16" t="s">
        <v>194</v>
      </c>
      <c r="C1" s="16" t="s">
        <v>195</v>
      </c>
      <c r="D1" s="16" t="s">
        <v>196</v>
      </c>
      <c r="E1" s="16" t="s">
        <v>23</v>
      </c>
      <c r="G1" s="16" t="s">
        <v>197</v>
      </c>
      <c r="H1" s="16" t="s">
        <v>198</v>
      </c>
      <c r="I1" s="16" t="s">
        <v>199</v>
      </c>
      <c r="J1" s="16" t="s">
        <v>200</v>
      </c>
      <c r="K1" s="16" t="s">
        <v>201</v>
      </c>
      <c r="L1" s="16" t="s">
        <v>202</v>
      </c>
      <c r="M1" s="16" t="s">
        <v>203</v>
      </c>
      <c r="N1" s="16" t="s">
        <v>204</v>
      </c>
      <c r="O1" s="16" t="s">
        <v>205</v>
      </c>
      <c r="P1" s="16" t="s">
        <v>206</v>
      </c>
      <c r="Q1" s="16" t="s">
        <v>207</v>
      </c>
      <c r="R1" s="16" t="s">
        <v>208</v>
      </c>
      <c r="S1" s="16" t="s">
        <v>209</v>
      </c>
      <c r="T1" s="16" t="s">
        <v>210</v>
      </c>
      <c r="U1" s="16" t="s">
        <v>211</v>
      </c>
      <c r="V1" s="16" t="s">
        <v>212</v>
      </c>
      <c r="W1" s="16" t="s">
        <v>213</v>
      </c>
    </row>
    <row r="2" spans="1:23" hidden="1" x14ac:dyDescent="0.25">
      <c r="A2">
        <v>21</v>
      </c>
      <c r="B2" t="s">
        <v>21</v>
      </c>
      <c r="C2">
        <v>2010</v>
      </c>
      <c r="D2" t="s">
        <v>214</v>
      </c>
      <c r="E2">
        <v>74171</v>
      </c>
      <c r="G2">
        <v>37997</v>
      </c>
      <c r="H2">
        <v>36174</v>
      </c>
      <c r="I2">
        <v>42446</v>
      </c>
      <c r="J2">
        <v>21197</v>
      </c>
      <c r="K2">
        <v>21249</v>
      </c>
      <c r="L2">
        <v>5535</v>
      </c>
      <c r="M2">
        <v>2969</v>
      </c>
      <c r="N2">
        <v>2566</v>
      </c>
      <c r="O2">
        <v>24190</v>
      </c>
      <c r="P2">
        <v>12833</v>
      </c>
      <c r="Q2">
        <v>11357</v>
      </c>
      <c r="R2">
        <v>449</v>
      </c>
      <c r="S2">
        <v>203</v>
      </c>
      <c r="T2">
        <v>246</v>
      </c>
      <c r="U2">
        <v>1551</v>
      </c>
      <c r="V2">
        <v>795</v>
      </c>
      <c r="W2">
        <v>756</v>
      </c>
    </row>
    <row r="3" spans="1:23" hidden="1" x14ac:dyDescent="0.25">
      <c r="A3">
        <v>21</v>
      </c>
      <c r="B3" t="s">
        <v>21</v>
      </c>
      <c r="C3">
        <v>2010</v>
      </c>
      <c r="D3" t="s">
        <v>215</v>
      </c>
      <c r="E3">
        <v>19452</v>
      </c>
      <c r="G3">
        <v>10019</v>
      </c>
      <c r="H3">
        <v>9433</v>
      </c>
      <c r="I3">
        <v>8291</v>
      </c>
      <c r="J3">
        <v>4308</v>
      </c>
      <c r="K3">
        <v>3983</v>
      </c>
      <c r="L3">
        <v>1309</v>
      </c>
      <c r="M3">
        <v>646</v>
      </c>
      <c r="N3">
        <v>663</v>
      </c>
      <c r="O3">
        <v>9135</v>
      </c>
      <c r="P3">
        <v>4706</v>
      </c>
      <c r="Q3">
        <v>4429</v>
      </c>
      <c r="R3">
        <v>98</v>
      </c>
      <c r="S3">
        <v>43</v>
      </c>
      <c r="T3">
        <v>55</v>
      </c>
      <c r="U3">
        <v>619</v>
      </c>
      <c r="V3">
        <v>316</v>
      </c>
      <c r="W3">
        <v>303</v>
      </c>
    </row>
    <row r="4" spans="1:23" hidden="1" x14ac:dyDescent="0.25">
      <c r="A4">
        <v>21</v>
      </c>
      <c r="B4" t="s">
        <v>21</v>
      </c>
      <c r="C4">
        <v>2010</v>
      </c>
      <c r="D4" t="s">
        <v>216</v>
      </c>
      <c r="E4">
        <v>5741</v>
      </c>
      <c r="G4">
        <v>3132</v>
      </c>
      <c r="H4">
        <v>2609</v>
      </c>
      <c r="I4">
        <v>2571</v>
      </c>
      <c r="J4">
        <v>1334</v>
      </c>
      <c r="K4">
        <v>1237</v>
      </c>
      <c r="L4">
        <v>486</v>
      </c>
      <c r="M4">
        <v>290</v>
      </c>
      <c r="N4">
        <v>196</v>
      </c>
      <c r="O4">
        <v>2540</v>
      </c>
      <c r="P4">
        <v>1436</v>
      </c>
      <c r="Q4">
        <v>1104</v>
      </c>
      <c r="R4">
        <v>25</v>
      </c>
      <c r="S4">
        <v>16</v>
      </c>
      <c r="T4">
        <v>9</v>
      </c>
      <c r="U4">
        <v>119</v>
      </c>
      <c r="V4">
        <v>56</v>
      </c>
      <c r="W4">
        <v>63</v>
      </c>
    </row>
    <row r="5" spans="1:23" hidden="1" x14ac:dyDescent="0.25">
      <c r="A5">
        <v>21</v>
      </c>
      <c r="B5" t="s">
        <v>21</v>
      </c>
      <c r="C5">
        <v>2010</v>
      </c>
      <c r="D5" t="s">
        <v>217</v>
      </c>
      <c r="E5">
        <v>18781</v>
      </c>
      <c r="G5">
        <v>9833</v>
      </c>
      <c r="H5">
        <v>8948</v>
      </c>
      <c r="I5">
        <v>9632</v>
      </c>
      <c r="J5">
        <v>4833</v>
      </c>
      <c r="K5">
        <v>4799</v>
      </c>
      <c r="L5">
        <v>1501</v>
      </c>
      <c r="M5">
        <v>917</v>
      </c>
      <c r="N5">
        <v>584</v>
      </c>
      <c r="O5">
        <v>7172</v>
      </c>
      <c r="P5">
        <v>3834</v>
      </c>
      <c r="Q5">
        <v>3338</v>
      </c>
      <c r="R5">
        <v>148</v>
      </c>
      <c r="S5">
        <v>67</v>
      </c>
      <c r="T5">
        <v>81</v>
      </c>
      <c r="U5">
        <v>328</v>
      </c>
      <c r="V5">
        <v>182</v>
      </c>
      <c r="W5">
        <v>146</v>
      </c>
    </row>
    <row r="6" spans="1:23" hidden="1" x14ac:dyDescent="0.25">
      <c r="A6">
        <v>21</v>
      </c>
      <c r="B6" t="s">
        <v>21</v>
      </c>
      <c r="C6">
        <v>2010</v>
      </c>
      <c r="D6" t="s">
        <v>218</v>
      </c>
      <c r="E6">
        <v>21696</v>
      </c>
      <c r="G6">
        <v>11086</v>
      </c>
      <c r="H6">
        <v>10610</v>
      </c>
      <c r="I6">
        <v>15260</v>
      </c>
      <c r="J6">
        <v>7625</v>
      </c>
      <c r="K6">
        <v>7635</v>
      </c>
      <c r="L6">
        <v>1593</v>
      </c>
      <c r="M6">
        <v>839</v>
      </c>
      <c r="N6">
        <v>754</v>
      </c>
      <c r="O6">
        <v>4322</v>
      </c>
      <c r="P6">
        <v>2366</v>
      </c>
      <c r="Q6">
        <v>1956</v>
      </c>
      <c r="R6">
        <v>148</v>
      </c>
      <c r="S6">
        <v>67</v>
      </c>
      <c r="T6">
        <v>81</v>
      </c>
      <c r="U6">
        <v>373</v>
      </c>
      <c r="V6">
        <v>189</v>
      </c>
      <c r="W6">
        <v>184</v>
      </c>
    </row>
    <row r="7" spans="1:23" hidden="1" x14ac:dyDescent="0.25">
      <c r="A7">
        <v>21</v>
      </c>
      <c r="B7" t="s">
        <v>21</v>
      </c>
      <c r="C7">
        <v>2010</v>
      </c>
      <c r="D7" t="s">
        <v>219</v>
      </c>
      <c r="E7">
        <v>8501</v>
      </c>
      <c r="G7">
        <v>3927</v>
      </c>
      <c r="H7">
        <v>4574</v>
      </c>
      <c r="I7">
        <v>6692</v>
      </c>
      <c r="J7">
        <v>3097</v>
      </c>
      <c r="K7">
        <v>3595</v>
      </c>
      <c r="L7">
        <v>646</v>
      </c>
      <c r="M7">
        <v>277</v>
      </c>
      <c r="N7">
        <v>369</v>
      </c>
      <c r="O7">
        <v>1021</v>
      </c>
      <c r="P7">
        <v>491</v>
      </c>
      <c r="Q7">
        <v>530</v>
      </c>
      <c r="R7">
        <v>30</v>
      </c>
      <c r="S7">
        <v>10</v>
      </c>
      <c r="T7">
        <v>20</v>
      </c>
      <c r="U7">
        <v>112</v>
      </c>
      <c r="V7">
        <v>52</v>
      </c>
      <c r="W7">
        <v>60</v>
      </c>
    </row>
    <row r="8" spans="1:23" hidden="1" x14ac:dyDescent="0.25">
      <c r="A8">
        <v>21</v>
      </c>
      <c r="B8" t="s">
        <v>21</v>
      </c>
      <c r="C8">
        <v>2011</v>
      </c>
      <c r="D8" t="s">
        <v>214</v>
      </c>
      <c r="E8">
        <v>75339</v>
      </c>
      <c r="G8">
        <v>38567</v>
      </c>
      <c r="H8">
        <v>36772</v>
      </c>
      <c r="I8">
        <v>42725</v>
      </c>
      <c r="J8">
        <v>21311</v>
      </c>
      <c r="K8">
        <v>21414</v>
      </c>
      <c r="L8">
        <v>5571</v>
      </c>
      <c r="M8">
        <v>2985</v>
      </c>
      <c r="N8">
        <v>2586</v>
      </c>
      <c r="O8">
        <v>25013</v>
      </c>
      <c r="P8">
        <v>13257</v>
      </c>
      <c r="Q8">
        <v>11756</v>
      </c>
      <c r="R8">
        <v>456</v>
      </c>
      <c r="S8">
        <v>207</v>
      </c>
      <c r="T8">
        <v>249</v>
      </c>
      <c r="U8">
        <v>1574</v>
      </c>
      <c r="V8">
        <v>807</v>
      </c>
      <c r="W8">
        <v>767</v>
      </c>
    </row>
    <row r="9" spans="1:23" hidden="1" x14ac:dyDescent="0.25">
      <c r="A9">
        <v>21</v>
      </c>
      <c r="B9" t="s">
        <v>21</v>
      </c>
      <c r="C9">
        <v>2011</v>
      </c>
      <c r="D9" t="s">
        <v>215</v>
      </c>
      <c r="E9">
        <v>19578</v>
      </c>
      <c r="G9">
        <v>10086</v>
      </c>
      <c r="H9">
        <v>9492</v>
      </c>
      <c r="I9">
        <v>8202</v>
      </c>
      <c r="J9">
        <v>4254</v>
      </c>
      <c r="K9">
        <v>3948</v>
      </c>
      <c r="L9">
        <v>1306</v>
      </c>
      <c r="M9">
        <v>635</v>
      </c>
      <c r="N9">
        <v>671</v>
      </c>
      <c r="O9">
        <v>9351</v>
      </c>
      <c r="P9">
        <v>4839</v>
      </c>
      <c r="Q9">
        <v>4512</v>
      </c>
      <c r="R9">
        <v>103</v>
      </c>
      <c r="S9">
        <v>45</v>
      </c>
      <c r="T9">
        <v>58</v>
      </c>
      <c r="U9">
        <v>616</v>
      </c>
      <c r="V9">
        <v>313</v>
      </c>
      <c r="W9">
        <v>303</v>
      </c>
    </row>
    <row r="10" spans="1:23" hidden="1" x14ac:dyDescent="0.25">
      <c r="A10">
        <v>21</v>
      </c>
      <c r="B10" t="s">
        <v>21</v>
      </c>
      <c r="C10">
        <v>2011</v>
      </c>
      <c r="D10" t="s">
        <v>216</v>
      </c>
      <c r="E10">
        <v>6007</v>
      </c>
      <c r="G10">
        <v>3246</v>
      </c>
      <c r="H10">
        <v>2761</v>
      </c>
      <c r="I10">
        <v>2706</v>
      </c>
      <c r="J10">
        <v>1404</v>
      </c>
      <c r="K10">
        <v>1302</v>
      </c>
      <c r="L10">
        <v>506</v>
      </c>
      <c r="M10">
        <v>296</v>
      </c>
      <c r="N10">
        <v>210</v>
      </c>
      <c r="O10">
        <v>2632</v>
      </c>
      <c r="P10">
        <v>1460</v>
      </c>
      <c r="Q10">
        <v>1172</v>
      </c>
      <c r="R10">
        <v>23</v>
      </c>
      <c r="S10">
        <v>17</v>
      </c>
      <c r="T10">
        <v>6</v>
      </c>
      <c r="U10">
        <v>140</v>
      </c>
      <c r="V10">
        <v>69</v>
      </c>
      <c r="W10">
        <v>71</v>
      </c>
    </row>
    <row r="11" spans="1:23" hidden="1" x14ac:dyDescent="0.25">
      <c r="A11">
        <v>21</v>
      </c>
      <c r="B11" t="s">
        <v>21</v>
      </c>
      <c r="C11">
        <v>2011</v>
      </c>
      <c r="D11" t="s">
        <v>217</v>
      </c>
      <c r="E11">
        <v>18787</v>
      </c>
      <c r="G11">
        <v>9848</v>
      </c>
      <c r="H11">
        <v>8939</v>
      </c>
      <c r="I11">
        <v>9494</v>
      </c>
      <c r="J11">
        <v>4775</v>
      </c>
      <c r="K11">
        <v>4719</v>
      </c>
      <c r="L11">
        <v>1476</v>
      </c>
      <c r="M11">
        <v>911</v>
      </c>
      <c r="N11">
        <v>565</v>
      </c>
      <c r="O11">
        <v>7353</v>
      </c>
      <c r="P11">
        <v>3918</v>
      </c>
      <c r="Q11">
        <v>3435</v>
      </c>
      <c r="R11">
        <v>143</v>
      </c>
      <c r="S11">
        <v>64</v>
      </c>
      <c r="T11">
        <v>79</v>
      </c>
      <c r="U11">
        <v>321</v>
      </c>
      <c r="V11">
        <v>180</v>
      </c>
      <c r="W11">
        <v>141</v>
      </c>
    </row>
    <row r="12" spans="1:23" hidden="1" x14ac:dyDescent="0.25">
      <c r="A12">
        <v>21</v>
      </c>
      <c r="B12" t="s">
        <v>21</v>
      </c>
      <c r="C12">
        <v>2011</v>
      </c>
      <c r="D12" t="s">
        <v>218</v>
      </c>
      <c r="E12">
        <v>22039</v>
      </c>
      <c r="G12">
        <v>11229</v>
      </c>
      <c r="H12">
        <v>10810</v>
      </c>
      <c r="I12">
        <v>15328</v>
      </c>
      <c r="J12">
        <v>7616</v>
      </c>
      <c r="K12">
        <v>7712</v>
      </c>
      <c r="L12">
        <v>1631</v>
      </c>
      <c r="M12">
        <v>859</v>
      </c>
      <c r="N12">
        <v>772</v>
      </c>
      <c r="O12">
        <v>4549</v>
      </c>
      <c r="P12">
        <v>2495</v>
      </c>
      <c r="Q12">
        <v>2054</v>
      </c>
      <c r="R12">
        <v>154</v>
      </c>
      <c r="S12">
        <v>70</v>
      </c>
      <c r="T12">
        <v>84</v>
      </c>
      <c r="U12">
        <v>377</v>
      </c>
      <c r="V12">
        <v>189</v>
      </c>
      <c r="W12">
        <v>188</v>
      </c>
    </row>
    <row r="13" spans="1:23" hidden="1" x14ac:dyDescent="0.25">
      <c r="A13">
        <v>21</v>
      </c>
      <c r="B13" t="s">
        <v>21</v>
      </c>
      <c r="C13">
        <v>2011</v>
      </c>
      <c r="D13" t="s">
        <v>219</v>
      </c>
      <c r="E13">
        <v>8928</v>
      </c>
      <c r="G13">
        <v>4158</v>
      </c>
      <c r="H13">
        <v>4770</v>
      </c>
      <c r="I13">
        <v>6995</v>
      </c>
      <c r="J13">
        <v>3262</v>
      </c>
      <c r="K13">
        <v>3733</v>
      </c>
      <c r="L13">
        <v>652</v>
      </c>
      <c r="M13">
        <v>284</v>
      </c>
      <c r="N13">
        <v>368</v>
      </c>
      <c r="O13">
        <v>1128</v>
      </c>
      <c r="P13">
        <v>545</v>
      </c>
      <c r="Q13">
        <v>583</v>
      </c>
      <c r="R13">
        <v>33</v>
      </c>
      <c r="S13">
        <v>11</v>
      </c>
      <c r="T13">
        <v>22</v>
      </c>
      <c r="U13">
        <v>120</v>
      </c>
      <c r="V13">
        <v>56</v>
      </c>
      <c r="W13">
        <v>64</v>
      </c>
    </row>
    <row r="14" spans="1:23" hidden="1" x14ac:dyDescent="0.25">
      <c r="A14">
        <v>21</v>
      </c>
      <c r="B14" t="s">
        <v>21</v>
      </c>
      <c r="C14">
        <v>2012</v>
      </c>
      <c r="D14" t="s">
        <v>214</v>
      </c>
      <c r="E14">
        <v>76532</v>
      </c>
      <c r="G14">
        <v>39149</v>
      </c>
      <c r="H14">
        <v>37383</v>
      </c>
      <c r="I14">
        <v>43000</v>
      </c>
      <c r="J14">
        <v>21430</v>
      </c>
      <c r="K14">
        <v>21570</v>
      </c>
      <c r="L14">
        <v>5617</v>
      </c>
      <c r="M14">
        <v>3003</v>
      </c>
      <c r="N14">
        <v>2614</v>
      </c>
      <c r="O14">
        <v>25855</v>
      </c>
      <c r="P14">
        <v>13686</v>
      </c>
      <c r="Q14">
        <v>12169</v>
      </c>
      <c r="R14">
        <v>462</v>
      </c>
      <c r="S14">
        <v>210</v>
      </c>
      <c r="T14">
        <v>252</v>
      </c>
      <c r="U14">
        <v>1598</v>
      </c>
      <c r="V14">
        <v>820</v>
      </c>
      <c r="W14">
        <v>778</v>
      </c>
    </row>
    <row r="15" spans="1:23" hidden="1" x14ac:dyDescent="0.25">
      <c r="A15">
        <v>21</v>
      </c>
      <c r="B15" t="s">
        <v>21</v>
      </c>
      <c r="C15">
        <v>2012</v>
      </c>
      <c r="D15" t="s">
        <v>215</v>
      </c>
      <c r="E15">
        <v>19785</v>
      </c>
      <c r="G15">
        <v>10188</v>
      </c>
      <c r="H15">
        <v>9597</v>
      </c>
      <c r="I15">
        <v>8158</v>
      </c>
      <c r="J15">
        <v>4237</v>
      </c>
      <c r="K15">
        <v>3921</v>
      </c>
      <c r="L15">
        <v>1298</v>
      </c>
      <c r="M15">
        <v>630</v>
      </c>
      <c r="N15">
        <v>668</v>
      </c>
      <c r="O15">
        <v>9605</v>
      </c>
      <c r="P15">
        <v>4960</v>
      </c>
      <c r="Q15">
        <v>4645</v>
      </c>
      <c r="R15">
        <v>102</v>
      </c>
      <c r="S15">
        <v>45</v>
      </c>
      <c r="T15">
        <v>57</v>
      </c>
      <c r="U15">
        <v>622</v>
      </c>
      <c r="V15">
        <v>316</v>
      </c>
      <c r="W15">
        <v>306</v>
      </c>
    </row>
    <row r="16" spans="1:23" hidden="1" x14ac:dyDescent="0.25">
      <c r="A16">
        <v>21</v>
      </c>
      <c r="B16" t="s">
        <v>21</v>
      </c>
      <c r="C16">
        <v>2012</v>
      </c>
      <c r="D16" t="s">
        <v>216</v>
      </c>
      <c r="E16">
        <v>6266</v>
      </c>
      <c r="G16">
        <v>3354</v>
      </c>
      <c r="H16">
        <v>2912</v>
      </c>
      <c r="I16">
        <v>2841</v>
      </c>
      <c r="J16">
        <v>1462</v>
      </c>
      <c r="K16">
        <v>1379</v>
      </c>
      <c r="L16">
        <v>532</v>
      </c>
      <c r="M16">
        <v>306</v>
      </c>
      <c r="N16">
        <v>226</v>
      </c>
      <c r="O16">
        <v>2733</v>
      </c>
      <c r="P16">
        <v>1501</v>
      </c>
      <c r="Q16">
        <v>1232</v>
      </c>
      <c r="R16">
        <v>25</v>
      </c>
      <c r="S16">
        <v>15</v>
      </c>
      <c r="T16">
        <v>10</v>
      </c>
      <c r="U16">
        <v>135</v>
      </c>
      <c r="V16">
        <v>70</v>
      </c>
      <c r="W16">
        <v>65</v>
      </c>
    </row>
    <row r="17" spans="1:23" hidden="1" x14ac:dyDescent="0.25">
      <c r="A17">
        <v>21</v>
      </c>
      <c r="B17" t="s">
        <v>21</v>
      </c>
      <c r="C17">
        <v>2012</v>
      </c>
      <c r="D17" t="s">
        <v>217</v>
      </c>
      <c r="E17">
        <v>18821</v>
      </c>
      <c r="G17">
        <v>9913</v>
      </c>
      <c r="H17">
        <v>8908</v>
      </c>
      <c r="I17">
        <v>9349</v>
      </c>
      <c r="J17">
        <v>4719</v>
      </c>
      <c r="K17">
        <v>4630</v>
      </c>
      <c r="L17">
        <v>1469</v>
      </c>
      <c r="M17">
        <v>906</v>
      </c>
      <c r="N17">
        <v>563</v>
      </c>
      <c r="O17">
        <v>7534</v>
      </c>
      <c r="P17">
        <v>4039</v>
      </c>
      <c r="Q17">
        <v>3495</v>
      </c>
      <c r="R17">
        <v>141</v>
      </c>
      <c r="S17">
        <v>68</v>
      </c>
      <c r="T17">
        <v>73</v>
      </c>
      <c r="U17">
        <v>328</v>
      </c>
      <c r="V17">
        <v>181</v>
      </c>
      <c r="W17">
        <v>147</v>
      </c>
    </row>
    <row r="18" spans="1:23" hidden="1" x14ac:dyDescent="0.25">
      <c r="A18">
        <v>21</v>
      </c>
      <c r="B18" t="s">
        <v>21</v>
      </c>
      <c r="C18">
        <v>2012</v>
      </c>
      <c r="D18" t="s">
        <v>218</v>
      </c>
      <c r="E18">
        <v>22087</v>
      </c>
      <c r="G18">
        <v>11214</v>
      </c>
      <c r="H18">
        <v>10873</v>
      </c>
      <c r="I18">
        <v>15166</v>
      </c>
      <c r="J18">
        <v>7494</v>
      </c>
      <c r="K18">
        <v>7672</v>
      </c>
      <c r="L18">
        <v>1649</v>
      </c>
      <c r="M18">
        <v>865</v>
      </c>
      <c r="N18">
        <v>784</v>
      </c>
      <c r="O18">
        <v>4741</v>
      </c>
      <c r="P18">
        <v>2597</v>
      </c>
      <c r="Q18">
        <v>2144</v>
      </c>
      <c r="R18">
        <v>157</v>
      </c>
      <c r="S18">
        <v>70</v>
      </c>
      <c r="T18">
        <v>87</v>
      </c>
      <c r="U18">
        <v>374</v>
      </c>
      <c r="V18">
        <v>188</v>
      </c>
      <c r="W18">
        <v>186</v>
      </c>
    </row>
    <row r="19" spans="1:23" hidden="1" x14ac:dyDescent="0.25">
      <c r="A19">
        <v>21</v>
      </c>
      <c r="B19" t="s">
        <v>21</v>
      </c>
      <c r="C19">
        <v>2012</v>
      </c>
      <c r="D19" t="s">
        <v>219</v>
      </c>
      <c r="E19">
        <v>9573</v>
      </c>
      <c r="G19">
        <v>4480</v>
      </c>
      <c r="H19">
        <v>5093</v>
      </c>
      <c r="I19">
        <v>7486</v>
      </c>
      <c r="J19">
        <v>3518</v>
      </c>
      <c r="K19">
        <v>3968</v>
      </c>
      <c r="L19">
        <v>669</v>
      </c>
      <c r="M19">
        <v>296</v>
      </c>
      <c r="N19">
        <v>373</v>
      </c>
      <c r="O19">
        <v>1242</v>
      </c>
      <c r="P19">
        <v>589</v>
      </c>
      <c r="Q19">
        <v>653</v>
      </c>
      <c r="R19">
        <v>37</v>
      </c>
      <c r="S19">
        <v>12</v>
      </c>
      <c r="T19">
        <v>25</v>
      </c>
      <c r="U19">
        <v>139</v>
      </c>
      <c r="V19">
        <v>65</v>
      </c>
      <c r="W19">
        <v>74</v>
      </c>
    </row>
    <row r="20" spans="1:23" hidden="1" x14ac:dyDescent="0.25">
      <c r="A20">
        <v>21</v>
      </c>
      <c r="B20" t="s">
        <v>21</v>
      </c>
      <c r="C20">
        <v>2013</v>
      </c>
      <c r="D20" t="s">
        <v>214</v>
      </c>
      <c r="E20">
        <v>77707</v>
      </c>
      <c r="G20">
        <v>39713</v>
      </c>
      <c r="H20">
        <v>37994</v>
      </c>
      <c r="I20">
        <v>43253</v>
      </c>
      <c r="J20">
        <v>21532</v>
      </c>
      <c r="K20">
        <v>21721</v>
      </c>
      <c r="L20">
        <v>5662</v>
      </c>
      <c r="M20">
        <v>3028</v>
      </c>
      <c r="N20">
        <v>2634</v>
      </c>
      <c r="O20">
        <v>26703</v>
      </c>
      <c r="P20">
        <v>14112</v>
      </c>
      <c r="Q20">
        <v>12591</v>
      </c>
      <c r="R20">
        <v>468</v>
      </c>
      <c r="S20">
        <v>213</v>
      </c>
      <c r="T20">
        <v>255</v>
      </c>
      <c r="U20">
        <v>1621</v>
      </c>
      <c r="V20">
        <v>828</v>
      </c>
      <c r="W20">
        <v>793</v>
      </c>
    </row>
    <row r="21" spans="1:23" hidden="1" x14ac:dyDescent="0.25">
      <c r="A21">
        <v>21</v>
      </c>
      <c r="B21" t="s">
        <v>21</v>
      </c>
      <c r="C21">
        <v>2013</v>
      </c>
      <c r="D21" t="s">
        <v>215</v>
      </c>
      <c r="E21">
        <v>19938</v>
      </c>
      <c r="G21">
        <v>10261</v>
      </c>
      <c r="H21">
        <v>9677</v>
      </c>
      <c r="I21">
        <v>8055</v>
      </c>
      <c r="J21">
        <v>4176</v>
      </c>
      <c r="K21">
        <v>3879</v>
      </c>
      <c r="L21">
        <v>1302</v>
      </c>
      <c r="M21">
        <v>627</v>
      </c>
      <c r="N21">
        <v>675</v>
      </c>
      <c r="O21">
        <v>9866</v>
      </c>
      <c r="P21">
        <v>5104</v>
      </c>
      <c r="Q21">
        <v>4762</v>
      </c>
      <c r="R21">
        <v>101</v>
      </c>
      <c r="S21">
        <v>45</v>
      </c>
      <c r="T21">
        <v>56</v>
      </c>
      <c r="U21">
        <v>614</v>
      </c>
      <c r="V21">
        <v>309</v>
      </c>
      <c r="W21">
        <v>305</v>
      </c>
    </row>
    <row r="22" spans="1:23" hidden="1" x14ac:dyDescent="0.25">
      <c r="A22">
        <v>21</v>
      </c>
      <c r="B22" t="s">
        <v>21</v>
      </c>
      <c r="C22">
        <v>2013</v>
      </c>
      <c r="D22" t="s">
        <v>216</v>
      </c>
      <c r="E22">
        <v>6554</v>
      </c>
      <c r="G22">
        <v>3498</v>
      </c>
      <c r="H22">
        <v>3056</v>
      </c>
      <c r="I22">
        <v>3008</v>
      </c>
      <c r="J22">
        <v>1569</v>
      </c>
      <c r="K22">
        <v>1439</v>
      </c>
      <c r="L22">
        <v>544</v>
      </c>
      <c r="M22">
        <v>317</v>
      </c>
      <c r="N22">
        <v>227</v>
      </c>
      <c r="O22">
        <v>2813</v>
      </c>
      <c r="P22">
        <v>1513</v>
      </c>
      <c r="Q22">
        <v>1300</v>
      </c>
      <c r="R22">
        <v>29</v>
      </c>
      <c r="S22">
        <v>15</v>
      </c>
      <c r="T22">
        <v>14</v>
      </c>
      <c r="U22">
        <v>160</v>
      </c>
      <c r="V22">
        <v>84</v>
      </c>
      <c r="W22">
        <v>76</v>
      </c>
    </row>
    <row r="23" spans="1:23" hidden="1" x14ac:dyDescent="0.25">
      <c r="A23">
        <v>21</v>
      </c>
      <c r="B23" t="s">
        <v>21</v>
      </c>
      <c r="C23">
        <v>2013</v>
      </c>
      <c r="D23" t="s">
        <v>217</v>
      </c>
      <c r="E23">
        <v>18946</v>
      </c>
      <c r="G23">
        <v>9988</v>
      </c>
      <c r="H23">
        <v>8958</v>
      </c>
      <c r="I23">
        <v>9274</v>
      </c>
      <c r="J23">
        <v>4660</v>
      </c>
      <c r="K23">
        <v>4614</v>
      </c>
      <c r="L23">
        <v>1484</v>
      </c>
      <c r="M23">
        <v>912</v>
      </c>
      <c r="N23">
        <v>572</v>
      </c>
      <c r="O23">
        <v>7727</v>
      </c>
      <c r="P23">
        <v>4169</v>
      </c>
      <c r="Q23">
        <v>3558</v>
      </c>
      <c r="R23">
        <v>136</v>
      </c>
      <c r="S23">
        <v>66</v>
      </c>
      <c r="T23">
        <v>70</v>
      </c>
      <c r="U23">
        <v>325</v>
      </c>
      <c r="V23">
        <v>181</v>
      </c>
      <c r="W23">
        <v>144</v>
      </c>
    </row>
    <row r="24" spans="1:23" hidden="1" x14ac:dyDescent="0.25">
      <c r="A24">
        <v>21</v>
      </c>
      <c r="B24" t="s">
        <v>21</v>
      </c>
      <c r="C24">
        <v>2013</v>
      </c>
      <c r="D24" t="s">
        <v>218</v>
      </c>
      <c r="E24">
        <v>22046</v>
      </c>
      <c r="G24">
        <v>11184</v>
      </c>
      <c r="H24">
        <v>10862</v>
      </c>
      <c r="I24">
        <v>14930</v>
      </c>
      <c r="J24">
        <v>7368</v>
      </c>
      <c r="K24">
        <v>7562</v>
      </c>
      <c r="L24">
        <v>1636</v>
      </c>
      <c r="M24">
        <v>861</v>
      </c>
      <c r="N24">
        <v>775</v>
      </c>
      <c r="O24">
        <v>4950</v>
      </c>
      <c r="P24">
        <v>2698</v>
      </c>
      <c r="Q24">
        <v>2252</v>
      </c>
      <c r="R24">
        <v>159</v>
      </c>
      <c r="S24">
        <v>74</v>
      </c>
      <c r="T24">
        <v>85</v>
      </c>
      <c r="U24">
        <v>371</v>
      </c>
      <c r="V24">
        <v>183</v>
      </c>
      <c r="W24">
        <v>188</v>
      </c>
    </row>
    <row r="25" spans="1:23" hidden="1" x14ac:dyDescent="0.25">
      <c r="A25">
        <v>21</v>
      </c>
      <c r="B25" t="s">
        <v>21</v>
      </c>
      <c r="C25">
        <v>2013</v>
      </c>
      <c r="D25" t="s">
        <v>219</v>
      </c>
      <c r="E25">
        <v>10223</v>
      </c>
      <c r="G25">
        <v>4782</v>
      </c>
      <c r="H25">
        <v>5441</v>
      </c>
      <c r="I25">
        <v>7986</v>
      </c>
      <c r="J25">
        <v>3759</v>
      </c>
      <c r="K25">
        <v>4227</v>
      </c>
      <c r="L25">
        <v>696</v>
      </c>
      <c r="M25">
        <v>311</v>
      </c>
      <c r="N25">
        <v>385</v>
      </c>
      <c r="O25">
        <v>1347</v>
      </c>
      <c r="P25">
        <v>628</v>
      </c>
      <c r="Q25">
        <v>719</v>
      </c>
      <c r="R25">
        <v>43</v>
      </c>
      <c r="S25">
        <v>13</v>
      </c>
      <c r="T25">
        <v>30</v>
      </c>
      <c r="U25">
        <v>151</v>
      </c>
      <c r="V25">
        <v>71</v>
      </c>
      <c r="W25">
        <v>80</v>
      </c>
    </row>
    <row r="26" spans="1:23" hidden="1" x14ac:dyDescent="0.25">
      <c r="A26">
        <v>21</v>
      </c>
      <c r="B26" t="s">
        <v>21</v>
      </c>
      <c r="C26">
        <v>2014</v>
      </c>
      <c r="D26" t="s">
        <v>214</v>
      </c>
      <c r="E26">
        <v>78891</v>
      </c>
      <c r="G26">
        <v>40284</v>
      </c>
      <c r="H26">
        <v>38607</v>
      </c>
      <c r="I26">
        <v>43486</v>
      </c>
      <c r="J26">
        <v>21616</v>
      </c>
      <c r="K26">
        <v>21870</v>
      </c>
      <c r="L26">
        <v>5702</v>
      </c>
      <c r="M26">
        <v>3050</v>
      </c>
      <c r="N26">
        <v>2652</v>
      </c>
      <c r="O26">
        <v>27578</v>
      </c>
      <c r="P26">
        <v>14556</v>
      </c>
      <c r="Q26">
        <v>13022</v>
      </c>
      <c r="R26">
        <v>475</v>
      </c>
      <c r="S26">
        <v>217</v>
      </c>
      <c r="T26">
        <v>258</v>
      </c>
      <c r="U26">
        <v>1650</v>
      </c>
      <c r="V26">
        <v>845</v>
      </c>
      <c r="W26">
        <v>805</v>
      </c>
    </row>
    <row r="27" spans="1:23" hidden="1" x14ac:dyDescent="0.25">
      <c r="A27">
        <v>21</v>
      </c>
      <c r="B27" t="s">
        <v>21</v>
      </c>
      <c r="C27">
        <v>2014</v>
      </c>
      <c r="D27" t="s">
        <v>215</v>
      </c>
      <c r="E27">
        <v>20071</v>
      </c>
      <c r="G27">
        <v>10310</v>
      </c>
      <c r="H27">
        <v>9761</v>
      </c>
      <c r="I27">
        <v>7944</v>
      </c>
      <c r="J27">
        <v>4124</v>
      </c>
      <c r="K27">
        <v>3820</v>
      </c>
      <c r="L27">
        <v>1313</v>
      </c>
      <c r="M27">
        <v>631</v>
      </c>
      <c r="N27">
        <v>682</v>
      </c>
      <c r="O27">
        <v>10092</v>
      </c>
      <c r="P27">
        <v>5199</v>
      </c>
      <c r="Q27">
        <v>4893</v>
      </c>
      <c r="R27">
        <v>106</v>
      </c>
      <c r="S27">
        <v>48</v>
      </c>
      <c r="T27">
        <v>58</v>
      </c>
      <c r="U27">
        <v>616</v>
      </c>
      <c r="V27">
        <v>308</v>
      </c>
      <c r="W27">
        <v>308</v>
      </c>
    </row>
    <row r="28" spans="1:23" hidden="1" x14ac:dyDescent="0.25">
      <c r="A28">
        <v>21</v>
      </c>
      <c r="B28" t="s">
        <v>21</v>
      </c>
      <c r="C28">
        <v>2014</v>
      </c>
      <c r="D28" t="s">
        <v>216</v>
      </c>
      <c r="E28">
        <v>6914</v>
      </c>
      <c r="G28">
        <v>3663</v>
      </c>
      <c r="H28">
        <v>3251</v>
      </c>
      <c r="I28">
        <v>3174</v>
      </c>
      <c r="J28">
        <v>1649</v>
      </c>
      <c r="K28">
        <v>1525</v>
      </c>
      <c r="L28">
        <v>558</v>
      </c>
      <c r="M28">
        <v>320</v>
      </c>
      <c r="N28">
        <v>238</v>
      </c>
      <c r="O28">
        <v>2978</v>
      </c>
      <c r="P28">
        <v>1587</v>
      </c>
      <c r="Q28">
        <v>1391</v>
      </c>
      <c r="R28">
        <v>30</v>
      </c>
      <c r="S28">
        <v>15</v>
      </c>
      <c r="T28">
        <v>15</v>
      </c>
      <c r="U28">
        <v>174</v>
      </c>
      <c r="V28">
        <v>92</v>
      </c>
      <c r="W28">
        <v>82</v>
      </c>
    </row>
    <row r="29" spans="1:23" hidden="1" x14ac:dyDescent="0.25">
      <c r="A29">
        <v>21</v>
      </c>
      <c r="B29" t="s">
        <v>21</v>
      </c>
      <c r="C29">
        <v>2014</v>
      </c>
      <c r="D29" t="s">
        <v>217</v>
      </c>
      <c r="E29">
        <v>18931</v>
      </c>
      <c r="G29">
        <v>10031</v>
      </c>
      <c r="H29">
        <v>8900</v>
      </c>
      <c r="I29">
        <v>9113</v>
      </c>
      <c r="J29">
        <v>4586</v>
      </c>
      <c r="K29">
        <v>4527</v>
      </c>
      <c r="L29">
        <v>1492</v>
      </c>
      <c r="M29">
        <v>921</v>
      </c>
      <c r="N29">
        <v>571</v>
      </c>
      <c r="O29">
        <v>7872</v>
      </c>
      <c r="P29">
        <v>4270</v>
      </c>
      <c r="Q29">
        <v>3602</v>
      </c>
      <c r="R29">
        <v>128</v>
      </c>
      <c r="S29">
        <v>64</v>
      </c>
      <c r="T29">
        <v>64</v>
      </c>
      <c r="U29">
        <v>326</v>
      </c>
      <c r="V29">
        <v>190</v>
      </c>
      <c r="W29">
        <v>136</v>
      </c>
    </row>
    <row r="30" spans="1:23" hidden="1" x14ac:dyDescent="0.25">
      <c r="A30">
        <v>21</v>
      </c>
      <c r="B30" t="s">
        <v>21</v>
      </c>
      <c r="C30">
        <v>2014</v>
      </c>
      <c r="D30" t="s">
        <v>218</v>
      </c>
      <c r="E30">
        <v>22185</v>
      </c>
      <c r="G30">
        <v>11241</v>
      </c>
      <c r="H30">
        <v>10944</v>
      </c>
      <c r="I30">
        <v>14840</v>
      </c>
      <c r="J30">
        <v>7316</v>
      </c>
      <c r="K30">
        <v>7524</v>
      </c>
      <c r="L30">
        <v>1629</v>
      </c>
      <c r="M30">
        <v>853</v>
      </c>
      <c r="N30">
        <v>776</v>
      </c>
      <c r="O30">
        <v>5182</v>
      </c>
      <c r="P30">
        <v>2818</v>
      </c>
      <c r="Q30">
        <v>2364</v>
      </c>
      <c r="R30">
        <v>164</v>
      </c>
      <c r="S30">
        <v>76</v>
      </c>
      <c r="T30">
        <v>88</v>
      </c>
      <c r="U30">
        <v>370</v>
      </c>
      <c r="V30">
        <v>178</v>
      </c>
      <c r="W30">
        <v>192</v>
      </c>
    </row>
    <row r="31" spans="1:23" hidden="1" x14ac:dyDescent="0.25">
      <c r="A31">
        <v>21</v>
      </c>
      <c r="B31" t="s">
        <v>21</v>
      </c>
      <c r="C31">
        <v>2014</v>
      </c>
      <c r="D31" t="s">
        <v>219</v>
      </c>
      <c r="E31">
        <v>10790</v>
      </c>
      <c r="G31">
        <v>5039</v>
      </c>
      <c r="H31">
        <v>5751</v>
      </c>
      <c r="I31">
        <v>8415</v>
      </c>
      <c r="J31">
        <v>3941</v>
      </c>
      <c r="K31">
        <v>4474</v>
      </c>
      <c r="L31">
        <v>710</v>
      </c>
      <c r="M31">
        <v>325</v>
      </c>
      <c r="N31">
        <v>385</v>
      </c>
      <c r="O31">
        <v>1454</v>
      </c>
      <c r="P31">
        <v>682</v>
      </c>
      <c r="Q31">
        <v>772</v>
      </c>
      <c r="R31">
        <v>47</v>
      </c>
      <c r="S31">
        <v>14</v>
      </c>
      <c r="T31">
        <v>33</v>
      </c>
      <c r="U31">
        <v>164</v>
      </c>
      <c r="V31">
        <v>77</v>
      </c>
      <c r="W31">
        <v>87</v>
      </c>
    </row>
    <row r="32" spans="1:23" hidden="1" x14ac:dyDescent="0.25">
      <c r="A32">
        <v>21</v>
      </c>
      <c r="B32" t="s">
        <v>21</v>
      </c>
      <c r="C32">
        <v>2015</v>
      </c>
      <c r="D32" t="s">
        <v>214</v>
      </c>
      <c r="E32">
        <v>80082</v>
      </c>
      <c r="G32">
        <v>40861</v>
      </c>
      <c r="H32">
        <v>39221</v>
      </c>
      <c r="I32">
        <v>43712</v>
      </c>
      <c r="J32">
        <v>21703</v>
      </c>
      <c r="K32">
        <v>22009</v>
      </c>
      <c r="L32">
        <v>5748</v>
      </c>
      <c r="M32">
        <v>3075</v>
      </c>
      <c r="N32">
        <v>2673</v>
      </c>
      <c r="O32">
        <v>28461</v>
      </c>
      <c r="P32">
        <v>15001</v>
      </c>
      <c r="Q32">
        <v>13460</v>
      </c>
      <c r="R32">
        <v>481</v>
      </c>
      <c r="S32">
        <v>220</v>
      </c>
      <c r="T32">
        <v>261</v>
      </c>
      <c r="U32">
        <v>1680</v>
      </c>
      <c r="V32">
        <v>862</v>
      </c>
      <c r="W32">
        <v>818</v>
      </c>
    </row>
    <row r="33" spans="1:23" hidden="1" x14ac:dyDescent="0.25">
      <c r="A33">
        <v>21</v>
      </c>
      <c r="B33" t="s">
        <v>21</v>
      </c>
      <c r="C33">
        <v>2015</v>
      </c>
      <c r="D33" t="s">
        <v>215</v>
      </c>
      <c r="E33">
        <v>20205</v>
      </c>
      <c r="G33">
        <v>10376</v>
      </c>
      <c r="H33">
        <v>9829</v>
      </c>
      <c r="I33">
        <v>7837</v>
      </c>
      <c r="J33">
        <v>4065</v>
      </c>
      <c r="K33">
        <v>3772</v>
      </c>
      <c r="L33">
        <v>1302</v>
      </c>
      <c r="M33">
        <v>630</v>
      </c>
      <c r="N33">
        <v>672</v>
      </c>
      <c r="O33">
        <v>10349</v>
      </c>
      <c r="P33">
        <v>5328</v>
      </c>
      <c r="Q33">
        <v>5021</v>
      </c>
      <c r="R33">
        <v>107</v>
      </c>
      <c r="S33">
        <v>50</v>
      </c>
      <c r="T33">
        <v>57</v>
      </c>
      <c r="U33">
        <v>610</v>
      </c>
      <c r="V33">
        <v>303</v>
      </c>
      <c r="W33">
        <v>307</v>
      </c>
    </row>
    <row r="34" spans="1:23" hidden="1" x14ac:dyDescent="0.25">
      <c r="A34">
        <v>21</v>
      </c>
      <c r="B34" t="s">
        <v>21</v>
      </c>
      <c r="C34">
        <v>2015</v>
      </c>
      <c r="D34" t="s">
        <v>216</v>
      </c>
      <c r="E34">
        <v>7171</v>
      </c>
      <c r="G34">
        <v>3797</v>
      </c>
      <c r="H34">
        <v>3374</v>
      </c>
      <c r="I34">
        <v>3327</v>
      </c>
      <c r="J34">
        <v>1746</v>
      </c>
      <c r="K34">
        <v>1581</v>
      </c>
      <c r="L34">
        <v>571</v>
      </c>
      <c r="M34">
        <v>311</v>
      </c>
      <c r="N34">
        <v>260</v>
      </c>
      <c r="O34">
        <v>3060</v>
      </c>
      <c r="P34">
        <v>1623</v>
      </c>
      <c r="Q34">
        <v>1437</v>
      </c>
      <c r="R34">
        <v>30</v>
      </c>
      <c r="S34">
        <v>15</v>
      </c>
      <c r="T34">
        <v>15</v>
      </c>
      <c r="U34">
        <v>183</v>
      </c>
      <c r="V34">
        <v>102</v>
      </c>
      <c r="W34">
        <v>81</v>
      </c>
    </row>
    <row r="35" spans="1:23" hidden="1" x14ac:dyDescent="0.25">
      <c r="A35">
        <v>21</v>
      </c>
      <c r="B35" t="s">
        <v>21</v>
      </c>
      <c r="C35">
        <v>2015</v>
      </c>
      <c r="D35" t="s">
        <v>217</v>
      </c>
      <c r="E35">
        <v>18969</v>
      </c>
      <c r="G35">
        <v>10063</v>
      </c>
      <c r="H35">
        <v>8906</v>
      </c>
      <c r="I35">
        <v>8980</v>
      </c>
      <c r="J35">
        <v>4528</v>
      </c>
      <c r="K35">
        <v>4452</v>
      </c>
      <c r="L35">
        <v>1510</v>
      </c>
      <c r="M35">
        <v>935</v>
      </c>
      <c r="N35">
        <v>575</v>
      </c>
      <c r="O35">
        <v>8020</v>
      </c>
      <c r="P35">
        <v>4344</v>
      </c>
      <c r="Q35">
        <v>3676</v>
      </c>
      <c r="R35">
        <v>124</v>
      </c>
      <c r="S35">
        <v>61</v>
      </c>
      <c r="T35">
        <v>63</v>
      </c>
      <c r="U35">
        <v>335</v>
      </c>
      <c r="V35">
        <v>195</v>
      </c>
      <c r="W35">
        <v>140</v>
      </c>
    </row>
    <row r="36" spans="1:23" hidden="1" x14ac:dyDescent="0.25">
      <c r="A36">
        <v>21</v>
      </c>
      <c r="B36" t="s">
        <v>21</v>
      </c>
      <c r="C36">
        <v>2015</v>
      </c>
      <c r="D36" t="s">
        <v>218</v>
      </c>
      <c r="E36">
        <v>22357</v>
      </c>
      <c r="G36">
        <v>11267</v>
      </c>
      <c r="H36">
        <v>11090</v>
      </c>
      <c r="I36">
        <v>14717</v>
      </c>
      <c r="J36">
        <v>7200</v>
      </c>
      <c r="K36">
        <v>7517</v>
      </c>
      <c r="L36">
        <v>1626</v>
      </c>
      <c r="M36">
        <v>845</v>
      </c>
      <c r="N36">
        <v>781</v>
      </c>
      <c r="O36">
        <v>5482</v>
      </c>
      <c r="P36">
        <v>2975</v>
      </c>
      <c r="Q36">
        <v>2507</v>
      </c>
      <c r="R36">
        <v>170</v>
      </c>
      <c r="S36">
        <v>79</v>
      </c>
      <c r="T36">
        <v>91</v>
      </c>
      <c r="U36">
        <v>362</v>
      </c>
      <c r="V36">
        <v>168</v>
      </c>
      <c r="W36">
        <v>194</v>
      </c>
    </row>
    <row r="37" spans="1:23" hidden="1" x14ac:dyDescent="0.25">
      <c r="A37">
        <v>21</v>
      </c>
      <c r="B37" t="s">
        <v>21</v>
      </c>
      <c r="C37">
        <v>2015</v>
      </c>
      <c r="D37" t="s">
        <v>219</v>
      </c>
      <c r="E37">
        <v>11380</v>
      </c>
      <c r="G37">
        <v>5358</v>
      </c>
      <c r="H37">
        <v>6022</v>
      </c>
      <c r="I37">
        <v>8851</v>
      </c>
      <c r="J37">
        <v>4164</v>
      </c>
      <c r="K37">
        <v>4687</v>
      </c>
      <c r="L37">
        <v>739</v>
      </c>
      <c r="M37">
        <v>354</v>
      </c>
      <c r="N37">
        <v>385</v>
      </c>
      <c r="O37">
        <v>1550</v>
      </c>
      <c r="P37">
        <v>731</v>
      </c>
      <c r="Q37">
        <v>819</v>
      </c>
      <c r="R37">
        <v>50</v>
      </c>
      <c r="S37">
        <v>15</v>
      </c>
      <c r="T37">
        <v>35</v>
      </c>
      <c r="U37">
        <v>190</v>
      </c>
      <c r="V37">
        <v>94</v>
      </c>
      <c r="W37">
        <v>96</v>
      </c>
    </row>
    <row r="38" spans="1:23" hidden="1" x14ac:dyDescent="0.25">
      <c r="A38">
        <v>21</v>
      </c>
      <c r="B38" t="s">
        <v>21</v>
      </c>
      <c r="C38">
        <v>2016</v>
      </c>
      <c r="D38" t="s">
        <v>214</v>
      </c>
      <c r="E38">
        <v>81259</v>
      </c>
      <c r="G38">
        <v>41434</v>
      </c>
      <c r="H38">
        <v>39825</v>
      </c>
      <c r="I38">
        <v>43921</v>
      </c>
      <c r="J38">
        <v>21784</v>
      </c>
      <c r="K38">
        <v>22137</v>
      </c>
      <c r="L38">
        <v>5799</v>
      </c>
      <c r="M38">
        <v>3102</v>
      </c>
      <c r="N38">
        <v>2697</v>
      </c>
      <c r="O38">
        <v>29354</v>
      </c>
      <c r="P38">
        <v>15455</v>
      </c>
      <c r="Q38">
        <v>13899</v>
      </c>
      <c r="R38">
        <v>486</v>
      </c>
      <c r="S38">
        <v>224</v>
      </c>
      <c r="T38">
        <v>262</v>
      </c>
      <c r="U38">
        <v>1699</v>
      </c>
      <c r="V38">
        <v>869</v>
      </c>
      <c r="W38">
        <v>830</v>
      </c>
    </row>
    <row r="39" spans="1:23" hidden="1" x14ac:dyDescent="0.25">
      <c r="A39">
        <v>21</v>
      </c>
      <c r="B39" t="s">
        <v>21</v>
      </c>
      <c r="C39">
        <v>2016</v>
      </c>
      <c r="D39" t="s">
        <v>215</v>
      </c>
      <c r="E39">
        <v>20324</v>
      </c>
      <c r="G39">
        <v>10451</v>
      </c>
      <c r="H39">
        <v>9873</v>
      </c>
      <c r="I39">
        <v>7729</v>
      </c>
      <c r="J39">
        <v>4023</v>
      </c>
      <c r="K39">
        <v>3706</v>
      </c>
      <c r="L39">
        <v>1311</v>
      </c>
      <c r="M39">
        <v>639</v>
      </c>
      <c r="N39">
        <v>672</v>
      </c>
      <c r="O39">
        <v>10576</v>
      </c>
      <c r="P39">
        <v>5434</v>
      </c>
      <c r="Q39">
        <v>5142</v>
      </c>
      <c r="R39">
        <v>103</v>
      </c>
      <c r="S39">
        <v>51</v>
      </c>
      <c r="T39">
        <v>52</v>
      </c>
      <c r="U39">
        <v>605</v>
      </c>
      <c r="V39">
        <v>304</v>
      </c>
      <c r="W39">
        <v>301</v>
      </c>
    </row>
    <row r="40" spans="1:23" hidden="1" x14ac:dyDescent="0.25">
      <c r="A40">
        <v>21</v>
      </c>
      <c r="B40" t="s">
        <v>21</v>
      </c>
      <c r="C40">
        <v>2016</v>
      </c>
      <c r="D40" t="s">
        <v>216</v>
      </c>
      <c r="E40">
        <v>7423</v>
      </c>
      <c r="G40">
        <v>3897</v>
      </c>
      <c r="H40">
        <v>3526</v>
      </c>
      <c r="I40">
        <v>3470</v>
      </c>
      <c r="J40">
        <v>1793</v>
      </c>
      <c r="K40">
        <v>1677</v>
      </c>
      <c r="L40">
        <v>564</v>
      </c>
      <c r="M40">
        <v>305</v>
      </c>
      <c r="N40">
        <v>259</v>
      </c>
      <c r="O40">
        <v>3154</v>
      </c>
      <c r="P40">
        <v>1679</v>
      </c>
      <c r="Q40">
        <v>1475</v>
      </c>
      <c r="R40">
        <v>36</v>
      </c>
      <c r="S40">
        <v>16</v>
      </c>
      <c r="T40">
        <v>20</v>
      </c>
      <c r="U40">
        <v>199</v>
      </c>
      <c r="V40">
        <v>104</v>
      </c>
      <c r="W40">
        <v>95</v>
      </c>
    </row>
    <row r="41" spans="1:23" hidden="1" x14ac:dyDescent="0.25">
      <c r="A41">
        <v>21</v>
      </c>
      <c r="B41" t="s">
        <v>21</v>
      </c>
      <c r="C41">
        <v>2016</v>
      </c>
      <c r="D41" t="s">
        <v>217</v>
      </c>
      <c r="E41">
        <v>19088</v>
      </c>
      <c r="G41">
        <v>10154</v>
      </c>
      <c r="H41">
        <v>8934</v>
      </c>
      <c r="I41">
        <v>8858</v>
      </c>
      <c r="J41">
        <v>4505</v>
      </c>
      <c r="K41">
        <v>4353</v>
      </c>
      <c r="L41">
        <v>1527</v>
      </c>
      <c r="M41">
        <v>937</v>
      </c>
      <c r="N41">
        <v>590</v>
      </c>
      <c r="O41">
        <v>8242</v>
      </c>
      <c r="P41">
        <v>4452</v>
      </c>
      <c r="Q41">
        <v>3790</v>
      </c>
      <c r="R41">
        <v>122</v>
      </c>
      <c r="S41">
        <v>59</v>
      </c>
      <c r="T41">
        <v>63</v>
      </c>
      <c r="U41">
        <v>339</v>
      </c>
      <c r="V41">
        <v>201</v>
      </c>
      <c r="W41">
        <v>138</v>
      </c>
    </row>
    <row r="42" spans="1:23" hidden="1" x14ac:dyDescent="0.25">
      <c r="A42">
        <v>21</v>
      </c>
      <c r="B42" t="s">
        <v>21</v>
      </c>
      <c r="C42">
        <v>2016</v>
      </c>
      <c r="D42" t="s">
        <v>218</v>
      </c>
      <c r="E42">
        <v>22454</v>
      </c>
      <c r="G42">
        <v>11292</v>
      </c>
      <c r="H42">
        <v>11162</v>
      </c>
      <c r="I42">
        <v>14567</v>
      </c>
      <c r="J42">
        <v>7092</v>
      </c>
      <c r="K42">
        <v>7475</v>
      </c>
      <c r="L42">
        <v>1641</v>
      </c>
      <c r="M42">
        <v>854</v>
      </c>
      <c r="N42">
        <v>787</v>
      </c>
      <c r="O42">
        <v>5720</v>
      </c>
      <c r="P42">
        <v>3104</v>
      </c>
      <c r="Q42">
        <v>2616</v>
      </c>
      <c r="R42">
        <v>172</v>
      </c>
      <c r="S42">
        <v>81</v>
      </c>
      <c r="T42">
        <v>91</v>
      </c>
      <c r="U42">
        <v>354</v>
      </c>
      <c r="V42">
        <v>161</v>
      </c>
      <c r="W42">
        <v>193</v>
      </c>
    </row>
    <row r="43" spans="1:23" hidden="1" x14ac:dyDescent="0.25">
      <c r="A43">
        <v>21</v>
      </c>
      <c r="B43" t="s">
        <v>21</v>
      </c>
      <c r="C43">
        <v>2016</v>
      </c>
      <c r="D43" t="s">
        <v>219</v>
      </c>
      <c r="E43">
        <v>11970</v>
      </c>
      <c r="G43">
        <v>5640</v>
      </c>
      <c r="H43">
        <v>6330</v>
      </c>
      <c r="I43">
        <v>9297</v>
      </c>
      <c r="J43">
        <v>4371</v>
      </c>
      <c r="K43">
        <v>4926</v>
      </c>
      <c r="L43">
        <v>756</v>
      </c>
      <c r="M43">
        <v>367</v>
      </c>
      <c r="N43">
        <v>389</v>
      </c>
      <c r="O43">
        <v>1662</v>
      </c>
      <c r="P43">
        <v>786</v>
      </c>
      <c r="Q43">
        <v>876</v>
      </c>
      <c r="R43">
        <v>53</v>
      </c>
      <c r="S43">
        <v>17</v>
      </c>
      <c r="T43">
        <v>36</v>
      </c>
      <c r="U43">
        <v>202</v>
      </c>
      <c r="V43">
        <v>99</v>
      </c>
      <c r="W43">
        <v>103</v>
      </c>
    </row>
    <row r="44" spans="1:23" hidden="1" x14ac:dyDescent="0.25">
      <c r="A44">
        <v>21</v>
      </c>
      <c r="B44" t="s">
        <v>21</v>
      </c>
      <c r="C44">
        <v>2017</v>
      </c>
      <c r="D44" t="s">
        <v>214</v>
      </c>
      <c r="E44">
        <v>82448</v>
      </c>
      <c r="G44">
        <v>41992</v>
      </c>
      <c r="H44">
        <v>40456</v>
      </c>
      <c r="I44">
        <v>44114</v>
      </c>
      <c r="J44">
        <v>21848</v>
      </c>
      <c r="K44">
        <v>22266</v>
      </c>
      <c r="L44">
        <v>5854</v>
      </c>
      <c r="M44">
        <v>3129</v>
      </c>
      <c r="N44">
        <v>2725</v>
      </c>
      <c r="O44">
        <v>30260</v>
      </c>
      <c r="P44">
        <v>15905</v>
      </c>
      <c r="Q44">
        <v>14355</v>
      </c>
      <c r="R44">
        <v>492</v>
      </c>
      <c r="S44">
        <v>227</v>
      </c>
      <c r="T44">
        <v>265</v>
      </c>
      <c r="U44">
        <v>1728</v>
      </c>
      <c r="V44">
        <v>883</v>
      </c>
      <c r="W44">
        <v>845</v>
      </c>
    </row>
    <row r="45" spans="1:23" hidden="1" x14ac:dyDescent="0.25">
      <c r="A45">
        <v>21</v>
      </c>
      <c r="B45" t="s">
        <v>21</v>
      </c>
      <c r="C45">
        <v>2017</v>
      </c>
      <c r="D45" t="s">
        <v>215</v>
      </c>
      <c r="E45">
        <v>20397</v>
      </c>
      <c r="G45">
        <v>10475</v>
      </c>
      <c r="H45">
        <v>9922</v>
      </c>
      <c r="I45">
        <v>7606</v>
      </c>
      <c r="J45">
        <v>3954</v>
      </c>
      <c r="K45">
        <v>3652</v>
      </c>
      <c r="L45">
        <v>1330</v>
      </c>
      <c r="M45">
        <v>654</v>
      </c>
      <c r="N45">
        <v>676</v>
      </c>
      <c r="O45">
        <v>10750</v>
      </c>
      <c r="P45">
        <v>5507</v>
      </c>
      <c r="Q45">
        <v>5243</v>
      </c>
      <c r="R45">
        <v>106</v>
      </c>
      <c r="S45">
        <v>52</v>
      </c>
      <c r="T45">
        <v>54</v>
      </c>
      <c r="U45">
        <v>605</v>
      </c>
      <c r="V45">
        <v>308</v>
      </c>
      <c r="W45">
        <v>297</v>
      </c>
    </row>
    <row r="46" spans="1:23" hidden="1" x14ac:dyDescent="0.25">
      <c r="A46">
        <v>21</v>
      </c>
      <c r="B46" t="s">
        <v>21</v>
      </c>
      <c r="C46">
        <v>2017</v>
      </c>
      <c r="D46" t="s">
        <v>216</v>
      </c>
      <c r="E46">
        <v>7553</v>
      </c>
      <c r="G46">
        <v>3968</v>
      </c>
      <c r="H46">
        <v>3585</v>
      </c>
      <c r="I46">
        <v>3520</v>
      </c>
      <c r="J46">
        <v>1820</v>
      </c>
      <c r="K46">
        <v>1700</v>
      </c>
      <c r="L46">
        <v>536</v>
      </c>
      <c r="M46">
        <v>275</v>
      </c>
      <c r="N46">
        <v>261</v>
      </c>
      <c r="O46">
        <v>3257</v>
      </c>
      <c r="P46">
        <v>1749</v>
      </c>
      <c r="Q46">
        <v>1508</v>
      </c>
      <c r="R46">
        <v>35</v>
      </c>
      <c r="S46">
        <v>15</v>
      </c>
      <c r="T46">
        <v>20</v>
      </c>
      <c r="U46">
        <v>205</v>
      </c>
      <c r="V46">
        <v>109</v>
      </c>
      <c r="W46">
        <v>96</v>
      </c>
    </row>
    <row r="47" spans="1:23" hidden="1" x14ac:dyDescent="0.25">
      <c r="A47">
        <v>21</v>
      </c>
      <c r="B47" t="s">
        <v>21</v>
      </c>
      <c r="C47">
        <v>2017</v>
      </c>
      <c r="D47" t="s">
        <v>217</v>
      </c>
      <c r="E47">
        <v>19381</v>
      </c>
      <c r="G47">
        <v>10302</v>
      </c>
      <c r="H47">
        <v>9079</v>
      </c>
      <c r="I47">
        <v>8878</v>
      </c>
      <c r="J47">
        <v>4531</v>
      </c>
      <c r="K47">
        <v>4347</v>
      </c>
      <c r="L47">
        <v>1582</v>
      </c>
      <c r="M47">
        <v>966</v>
      </c>
      <c r="N47">
        <v>616</v>
      </c>
      <c r="O47">
        <v>8448</v>
      </c>
      <c r="P47">
        <v>4544</v>
      </c>
      <c r="Q47">
        <v>3904</v>
      </c>
      <c r="R47">
        <v>117</v>
      </c>
      <c r="S47">
        <v>58</v>
      </c>
      <c r="T47">
        <v>59</v>
      </c>
      <c r="U47">
        <v>356</v>
      </c>
      <c r="V47">
        <v>203</v>
      </c>
      <c r="W47">
        <v>153</v>
      </c>
    </row>
    <row r="48" spans="1:23" hidden="1" x14ac:dyDescent="0.25">
      <c r="A48">
        <v>21</v>
      </c>
      <c r="B48" t="s">
        <v>21</v>
      </c>
      <c r="C48">
        <v>2017</v>
      </c>
      <c r="D48" t="s">
        <v>218</v>
      </c>
      <c r="E48">
        <v>22507</v>
      </c>
      <c r="G48">
        <v>11293</v>
      </c>
      <c r="H48">
        <v>11214</v>
      </c>
      <c r="I48">
        <v>14329</v>
      </c>
      <c r="J48">
        <v>6925</v>
      </c>
      <c r="K48">
        <v>7404</v>
      </c>
      <c r="L48">
        <v>1640</v>
      </c>
      <c r="M48">
        <v>861</v>
      </c>
      <c r="N48">
        <v>779</v>
      </c>
      <c r="O48">
        <v>6023</v>
      </c>
      <c r="P48">
        <v>3271</v>
      </c>
      <c r="Q48">
        <v>2752</v>
      </c>
      <c r="R48">
        <v>169</v>
      </c>
      <c r="S48">
        <v>79</v>
      </c>
      <c r="T48">
        <v>90</v>
      </c>
      <c r="U48">
        <v>346</v>
      </c>
      <c r="V48">
        <v>157</v>
      </c>
      <c r="W48">
        <v>189</v>
      </c>
    </row>
    <row r="49" spans="1:23" hidden="1" x14ac:dyDescent="0.25">
      <c r="A49">
        <v>21</v>
      </c>
      <c r="B49" t="s">
        <v>21</v>
      </c>
      <c r="C49">
        <v>2017</v>
      </c>
      <c r="D49" t="s">
        <v>219</v>
      </c>
      <c r="E49">
        <v>12610</v>
      </c>
      <c r="G49">
        <v>5954</v>
      </c>
      <c r="H49">
        <v>6656</v>
      </c>
      <c r="I49">
        <v>9781</v>
      </c>
      <c r="J49">
        <v>4618</v>
      </c>
      <c r="K49">
        <v>5163</v>
      </c>
      <c r="L49">
        <v>766</v>
      </c>
      <c r="M49">
        <v>373</v>
      </c>
      <c r="N49">
        <v>393</v>
      </c>
      <c r="O49">
        <v>1782</v>
      </c>
      <c r="P49">
        <v>834</v>
      </c>
      <c r="Q49">
        <v>948</v>
      </c>
      <c r="R49">
        <v>65</v>
      </c>
      <c r="S49">
        <v>23</v>
      </c>
      <c r="T49">
        <v>42</v>
      </c>
      <c r="U49">
        <v>216</v>
      </c>
      <c r="V49">
        <v>106</v>
      </c>
      <c r="W49">
        <v>110</v>
      </c>
    </row>
    <row r="50" spans="1:23" hidden="1" x14ac:dyDescent="0.25">
      <c r="A50">
        <v>21</v>
      </c>
      <c r="B50" t="s">
        <v>21</v>
      </c>
      <c r="C50">
        <v>2018</v>
      </c>
      <c r="D50" t="s">
        <v>214</v>
      </c>
      <c r="E50">
        <v>83657</v>
      </c>
      <c r="G50">
        <v>42566</v>
      </c>
      <c r="H50">
        <v>41091</v>
      </c>
      <c r="I50">
        <v>44298</v>
      </c>
      <c r="J50">
        <v>21912</v>
      </c>
      <c r="K50">
        <v>22386</v>
      </c>
      <c r="L50">
        <v>5924</v>
      </c>
      <c r="M50">
        <v>3161</v>
      </c>
      <c r="N50">
        <v>2763</v>
      </c>
      <c r="O50">
        <v>31179</v>
      </c>
      <c r="P50">
        <v>16366</v>
      </c>
      <c r="Q50">
        <v>14813</v>
      </c>
      <c r="R50">
        <v>498</v>
      </c>
      <c r="S50">
        <v>231</v>
      </c>
      <c r="T50">
        <v>267</v>
      </c>
      <c r="U50">
        <v>1758</v>
      </c>
      <c r="V50">
        <v>896</v>
      </c>
      <c r="W50">
        <v>862</v>
      </c>
    </row>
    <row r="51" spans="1:23" hidden="1" x14ac:dyDescent="0.25">
      <c r="A51">
        <v>21</v>
      </c>
      <c r="B51" t="s">
        <v>21</v>
      </c>
      <c r="C51">
        <v>2018</v>
      </c>
      <c r="D51" t="s">
        <v>215</v>
      </c>
      <c r="E51">
        <v>20495</v>
      </c>
      <c r="G51">
        <v>10484</v>
      </c>
      <c r="H51">
        <v>10011</v>
      </c>
      <c r="I51">
        <v>7496</v>
      </c>
      <c r="J51">
        <v>3884</v>
      </c>
      <c r="K51">
        <v>3612</v>
      </c>
      <c r="L51">
        <v>1360</v>
      </c>
      <c r="M51">
        <v>673</v>
      </c>
      <c r="N51">
        <v>687</v>
      </c>
      <c r="O51">
        <v>10930</v>
      </c>
      <c r="P51">
        <v>5573</v>
      </c>
      <c r="Q51">
        <v>5357</v>
      </c>
      <c r="R51">
        <v>100</v>
      </c>
      <c r="S51">
        <v>47</v>
      </c>
      <c r="T51">
        <v>53</v>
      </c>
      <c r="U51">
        <v>609</v>
      </c>
      <c r="V51">
        <v>307</v>
      </c>
      <c r="W51">
        <v>302</v>
      </c>
    </row>
    <row r="52" spans="1:23" hidden="1" x14ac:dyDescent="0.25">
      <c r="A52">
        <v>21</v>
      </c>
      <c r="B52" t="s">
        <v>21</v>
      </c>
      <c r="C52">
        <v>2018</v>
      </c>
      <c r="D52" t="s">
        <v>216</v>
      </c>
      <c r="E52">
        <v>7693</v>
      </c>
      <c r="G52">
        <v>4088</v>
      </c>
      <c r="H52">
        <v>3605</v>
      </c>
      <c r="I52">
        <v>3517</v>
      </c>
      <c r="J52">
        <v>1826</v>
      </c>
      <c r="K52">
        <v>1691</v>
      </c>
      <c r="L52">
        <v>541</v>
      </c>
      <c r="M52">
        <v>267</v>
      </c>
      <c r="N52">
        <v>274</v>
      </c>
      <c r="O52">
        <v>3383</v>
      </c>
      <c r="P52">
        <v>1863</v>
      </c>
      <c r="Q52">
        <v>1520</v>
      </c>
      <c r="R52">
        <v>45</v>
      </c>
      <c r="S52">
        <v>22</v>
      </c>
      <c r="T52">
        <v>23</v>
      </c>
      <c r="U52">
        <v>207</v>
      </c>
      <c r="V52">
        <v>110</v>
      </c>
      <c r="W52">
        <v>97</v>
      </c>
    </row>
    <row r="53" spans="1:23" hidden="1" x14ac:dyDescent="0.25">
      <c r="A53">
        <v>21</v>
      </c>
      <c r="B53" t="s">
        <v>21</v>
      </c>
      <c r="C53">
        <v>2018</v>
      </c>
      <c r="D53" t="s">
        <v>217</v>
      </c>
      <c r="E53">
        <v>19771</v>
      </c>
      <c r="G53">
        <v>10462</v>
      </c>
      <c r="H53">
        <v>9309</v>
      </c>
      <c r="I53">
        <v>8977</v>
      </c>
      <c r="J53">
        <v>4566</v>
      </c>
      <c r="K53">
        <v>4411</v>
      </c>
      <c r="L53">
        <v>1609</v>
      </c>
      <c r="M53">
        <v>976</v>
      </c>
      <c r="N53">
        <v>633</v>
      </c>
      <c r="O53">
        <v>8697</v>
      </c>
      <c r="P53">
        <v>4650</v>
      </c>
      <c r="Q53">
        <v>4047</v>
      </c>
      <c r="R53">
        <v>108</v>
      </c>
      <c r="S53">
        <v>53</v>
      </c>
      <c r="T53">
        <v>55</v>
      </c>
      <c r="U53">
        <v>380</v>
      </c>
      <c r="V53">
        <v>217</v>
      </c>
      <c r="W53">
        <v>163</v>
      </c>
    </row>
    <row r="54" spans="1:23" hidden="1" x14ac:dyDescent="0.25">
      <c r="A54">
        <v>21</v>
      </c>
      <c r="B54" t="s">
        <v>21</v>
      </c>
      <c r="C54">
        <v>2018</v>
      </c>
      <c r="D54" t="s">
        <v>218</v>
      </c>
      <c r="E54">
        <v>22470</v>
      </c>
      <c r="G54">
        <v>11303</v>
      </c>
      <c r="H54">
        <v>11167</v>
      </c>
      <c r="I54">
        <v>14059</v>
      </c>
      <c r="J54">
        <v>6826</v>
      </c>
      <c r="K54">
        <v>7233</v>
      </c>
      <c r="L54">
        <v>1620</v>
      </c>
      <c r="M54">
        <v>847</v>
      </c>
      <c r="N54">
        <v>773</v>
      </c>
      <c r="O54">
        <v>6283</v>
      </c>
      <c r="P54">
        <v>3396</v>
      </c>
      <c r="Q54">
        <v>2887</v>
      </c>
      <c r="R54">
        <v>177</v>
      </c>
      <c r="S54">
        <v>84</v>
      </c>
      <c r="T54">
        <v>93</v>
      </c>
      <c r="U54">
        <v>331</v>
      </c>
      <c r="V54">
        <v>150</v>
      </c>
      <c r="W54">
        <v>181</v>
      </c>
    </row>
    <row r="55" spans="1:23" hidden="1" x14ac:dyDescent="0.25">
      <c r="A55">
        <v>21</v>
      </c>
      <c r="B55" t="s">
        <v>21</v>
      </c>
      <c r="C55">
        <v>2018</v>
      </c>
      <c r="D55" t="s">
        <v>219</v>
      </c>
      <c r="E55">
        <v>13228</v>
      </c>
      <c r="G55">
        <v>6229</v>
      </c>
      <c r="H55">
        <v>6999</v>
      </c>
      <c r="I55">
        <v>10249</v>
      </c>
      <c r="J55">
        <v>4810</v>
      </c>
      <c r="K55">
        <v>5439</v>
      </c>
      <c r="L55">
        <v>794</v>
      </c>
      <c r="M55">
        <v>398</v>
      </c>
      <c r="N55">
        <v>396</v>
      </c>
      <c r="O55">
        <v>1886</v>
      </c>
      <c r="P55">
        <v>884</v>
      </c>
      <c r="Q55">
        <v>1002</v>
      </c>
      <c r="R55">
        <v>68</v>
      </c>
      <c r="S55">
        <v>25</v>
      </c>
      <c r="T55">
        <v>43</v>
      </c>
      <c r="U55">
        <v>231</v>
      </c>
      <c r="V55">
        <v>112</v>
      </c>
      <c r="W55">
        <v>119</v>
      </c>
    </row>
    <row r="56" spans="1:23" hidden="1" x14ac:dyDescent="0.25">
      <c r="A56">
        <v>21</v>
      </c>
      <c r="B56" t="s">
        <v>21</v>
      </c>
      <c r="C56">
        <v>2019</v>
      </c>
      <c r="D56" t="s">
        <v>214</v>
      </c>
      <c r="E56">
        <v>84866</v>
      </c>
      <c r="G56">
        <v>43154</v>
      </c>
      <c r="H56">
        <v>41712</v>
      </c>
      <c r="I56">
        <v>44475</v>
      </c>
      <c r="J56">
        <v>21977</v>
      </c>
      <c r="K56">
        <v>22498</v>
      </c>
      <c r="L56">
        <v>5986</v>
      </c>
      <c r="M56">
        <v>3198</v>
      </c>
      <c r="N56">
        <v>2788</v>
      </c>
      <c r="O56">
        <v>32114</v>
      </c>
      <c r="P56">
        <v>16839</v>
      </c>
      <c r="Q56">
        <v>15275</v>
      </c>
      <c r="R56">
        <v>502</v>
      </c>
      <c r="S56">
        <v>232</v>
      </c>
      <c r="T56">
        <v>270</v>
      </c>
      <c r="U56">
        <v>1789</v>
      </c>
      <c r="V56">
        <v>908</v>
      </c>
      <c r="W56">
        <v>881</v>
      </c>
    </row>
    <row r="57" spans="1:23" hidden="1" x14ac:dyDescent="0.25">
      <c r="A57">
        <v>21</v>
      </c>
      <c r="B57" t="s">
        <v>21</v>
      </c>
      <c r="C57">
        <v>2019</v>
      </c>
      <c r="D57" t="s">
        <v>215</v>
      </c>
      <c r="E57">
        <v>20654</v>
      </c>
      <c r="G57">
        <v>10568</v>
      </c>
      <c r="H57">
        <v>10086</v>
      </c>
      <c r="I57">
        <v>7431</v>
      </c>
      <c r="J57">
        <v>3849</v>
      </c>
      <c r="K57">
        <v>3582</v>
      </c>
      <c r="L57">
        <v>1397</v>
      </c>
      <c r="M57">
        <v>692</v>
      </c>
      <c r="N57">
        <v>705</v>
      </c>
      <c r="O57">
        <v>11115</v>
      </c>
      <c r="P57">
        <v>5668</v>
      </c>
      <c r="Q57">
        <v>5447</v>
      </c>
      <c r="R57">
        <v>97</v>
      </c>
      <c r="S57">
        <v>45</v>
      </c>
      <c r="T57">
        <v>52</v>
      </c>
      <c r="U57">
        <v>614</v>
      </c>
      <c r="V57">
        <v>314</v>
      </c>
      <c r="W57">
        <v>300</v>
      </c>
    </row>
    <row r="58" spans="1:23" hidden="1" x14ac:dyDescent="0.25">
      <c r="A58">
        <v>21</v>
      </c>
      <c r="B58" t="s">
        <v>21</v>
      </c>
      <c r="C58">
        <v>2019</v>
      </c>
      <c r="D58" t="s">
        <v>216</v>
      </c>
      <c r="E58">
        <v>7864</v>
      </c>
      <c r="G58">
        <v>4172</v>
      </c>
      <c r="H58">
        <v>3692</v>
      </c>
      <c r="I58">
        <v>3531</v>
      </c>
      <c r="J58">
        <v>1840</v>
      </c>
      <c r="K58">
        <v>1691</v>
      </c>
      <c r="L58">
        <v>520</v>
      </c>
      <c r="M58">
        <v>260</v>
      </c>
      <c r="N58">
        <v>260</v>
      </c>
      <c r="O58">
        <v>3544</v>
      </c>
      <c r="P58">
        <v>1935</v>
      </c>
      <c r="Q58">
        <v>1609</v>
      </c>
      <c r="R58">
        <v>45</v>
      </c>
      <c r="S58">
        <v>22</v>
      </c>
      <c r="T58">
        <v>23</v>
      </c>
      <c r="U58">
        <v>224</v>
      </c>
      <c r="V58">
        <v>115</v>
      </c>
      <c r="W58">
        <v>109</v>
      </c>
    </row>
    <row r="59" spans="1:23" hidden="1" x14ac:dyDescent="0.25">
      <c r="A59">
        <v>21</v>
      </c>
      <c r="B59" t="s">
        <v>21</v>
      </c>
      <c r="C59">
        <v>2019</v>
      </c>
      <c r="D59" t="s">
        <v>217</v>
      </c>
      <c r="E59">
        <v>20086</v>
      </c>
      <c r="G59">
        <v>10650</v>
      </c>
      <c r="H59">
        <v>9436</v>
      </c>
      <c r="I59">
        <v>9022</v>
      </c>
      <c r="J59">
        <v>4598</v>
      </c>
      <c r="K59">
        <v>4424</v>
      </c>
      <c r="L59">
        <v>1663</v>
      </c>
      <c r="M59">
        <v>1000</v>
      </c>
      <c r="N59">
        <v>663</v>
      </c>
      <c r="O59">
        <v>8912</v>
      </c>
      <c r="P59">
        <v>4778</v>
      </c>
      <c r="Q59">
        <v>4134</v>
      </c>
      <c r="R59">
        <v>108</v>
      </c>
      <c r="S59">
        <v>54</v>
      </c>
      <c r="T59">
        <v>54</v>
      </c>
      <c r="U59">
        <v>381</v>
      </c>
      <c r="V59">
        <v>220</v>
      </c>
      <c r="W59">
        <v>161</v>
      </c>
    </row>
    <row r="60" spans="1:23" hidden="1" x14ac:dyDescent="0.25">
      <c r="A60">
        <v>21</v>
      </c>
      <c r="B60" t="s">
        <v>21</v>
      </c>
      <c r="C60">
        <v>2019</v>
      </c>
      <c r="D60" t="s">
        <v>218</v>
      </c>
      <c r="E60">
        <v>22417</v>
      </c>
      <c r="G60">
        <v>11250</v>
      </c>
      <c r="H60">
        <v>11167</v>
      </c>
      <c r="I60">
        <v>13804</v>
      </c>
      <c r="J60">
        <v>6688</v>
      </c>
      <c r="K60">
        <v>7116</v>
      </c>
      <c r="L60">
        <v>1592</v>
      </c>
      <c r="M60">
        <v>833</v>
      </c>
      <c r="N60">
        <v>759</v>
      </c>
      <c r="O60">
        <v>6514</v>
      </c>
      <c r="P60">
        <v>3496</v>
      </c>
      <c r="Q60">
        <v>3018</v>
      </c>
      <c r="R60">
        <v>177</v>
      </c>
      <c r="S60">
        <v>84</v>
      </c>
      <c r="T60">
        <v>93</v>
      </c>
      <c r="U60">
        <v>330</v>
      </c>
      <c r="V60">
        <v>149</v>
      </c>
      <c r="W60">
        <v>181</v>
      </c>
    </row>
    <row r="61" spans="1:23" hidden="1" x14ac:dyDescent="0.25">
      <c r="A61">
        <v>21</v>
      </c>
      <c r="B61" t="s">
        <v>21</v>
      </c>
      <c r="C61">
        <v>2019</v>
      </c>
      <c r="D61" t="s">
        <v>219</v>
      </c>
      <c r="E61">
        <v>13845</v>
      </c>
      <c r="G61">
        <v>6514</v>
      </c>
      <c r="H61">
        <v>7331</v>
      </c>
      <c r="I61">
        <v>10687</v>
      </c>
      <c r="J61">
        <v>5002</v>
      </c>
      <c r="K61">
        <v>5685</v>
      </c>
      <c r="L61">
        <v>814</v>
      </c>
      <c r="M61">
        <v>413</v>
      </c>
      <c r="N61">
        <v>401</v>
      </c>
      <c r="O61">
        <v>2029</v>
      </c>
      <c r="P61">
        <v>962</v>
      </c>
      <c r="Q61">
        <v>1067</v>
      </c>
      <c r="R61">
        <v>75</v>
      </c>
      <c r="S61">
        <v>27</v>
      </c>
      <c r="T61">
        <v>48</v>
      </c>
      <c r="U61">
        <v>240</v>
      </c>
      <c r="V61">
        <v>110</v>
      </c>
      <c r="W61">
        <v>130</v>
      </c>
    </row>
    <row r="62" spans="1:23" x14ac:dyDescent="0.25">
      <c r="A62">
        <v>21</v>
      </c>
      <c r="B62" t="s">
        <v>21</v>
      </c>
      <c r="C62">
        <v>2020</v>
      </c>
      <c r="D62" t="s">
        <v>214</v>
      </c>
      <c r="E62">
        <v>86105</v>
      </c>
      <c r="G62">
        <v>43738</v>
      </c>
      <c r="H62">
        <v>42367</v>
      </c>
      <c r="I62">
        <v>44650</v>
      </c>
      <c r="J62">
        <v>22030</v>
      </c>
      <c r="K62">
        <v>22620</v>
      </c>
      <c r="L62">
        <v>6055</v>
      </c>
      <c r="M62">
        <v>3224</v>
      </c>
      <c r="N62">
        <v>2831</v>
      </c>
      <c r="O62">
        <v>33065</v>
      </c>
      <c r="P62">
        <v>17317</v>
      </c>
      <c r="Q62">
        <v>15748</v>
      </c>
      <c r="R62">
        <v>508</v>
      </c>
      <c r="S62">
        <v>237</v>
      </c>
      <c r="T62">
        <v>271</v>
      </c>
      <c r="U62">
        <v>1827</v>
      </c>
      <c r="V62">
        <v>930</v>
      </c>
      <c r="W62">
        <v>897</v>
      </c>
    </row>
    <row r="63" spans="1:23" hidden="1" x14ac:dyDescent="0.25">
      <c r="A63">
        <v>21</v>
      </c>
      <c r="B63" t="s">
        <v>21</v>
      </c>
      <c r="C63">
        <v>2020</v>
      </c>
      <c r="D63" t="s">
        <v>215</v>
      </c>
      <c r="E63">
        <v>20808</v>
      </c>
      <c r="G63">
        <v>10626</v>
      </c>
      <c r="H63">
        <v>10182</v>
      </c>
      <c r="I63">
        <v>7353</v>
      </c>
      <c r="J63">
        <v>3792</v>
      </c>
      <c r="K63">
        <v>3561</v>
      </c>
      <c r="L63">
        <v>1435</v>
      </c>
      <c r="M63">
        <v>712</v>
      </c>
      <c r="N63">
        <v>723</v>
      </c>
      <c r="O63">
        <v>11313</v>
      </c>
      <c r="P63">
        <v>5764</v>
      </c>
      <c r="Q63">
        <v>5549</v>
      </c>
      <c r="R63">
        <v>93</v>
      </c>
      <c r="S63">
        <v>47</v>
      </c>
      <c r="T63">
        <v>46</v>
      </c>
      <c r="U63">
        <v>614</v>
      </c>
      <c r="V63">
        <v>311</v>
      </c>
      <c r="W63">
        <v>303</v>
      </c>
    </row>
    <row r="64" spans="1:23" hidden="1" x14ac:dyDescent="0.25">
      <c r="A64">
        <v>21</v>
      </c>
      <c r="B64" t="s">
        <v>21</v>
      </c>
      <c r="C64">
        <v>2020</v>
      </c>
      <c r="D64" t="s">
        <v>216</v>
      </c>
      <c r="E64">
        <v>7979</v>
      </c>
      <c r="G64">
        <v>4248</v>
      </c>
      <c r="H64">
        <v>3731</v>
      </c>
      <c r="I64">
        <v>3500</v>
      </c>
      <c r="J64">
        <v>1833</v>
      </c>
      <c r="K64">
        <v>1667</v>
      </c>
      <c r="L64">
        <v>498</v>
      </c>
      <c r="M64">
        <v>241</v>
      </c>
      <c r="N64">
        <v>257</v>
      </c>
      <c r="O64">
        <v>3708</v>
      </c>
      <c r="P64">
        <v>2035</v>
      </c>
      <c r="Q64">
        <v>1673</v>
      </c>
      <c r="R64">
        <v>47</v>
      </c>
      <c r="S64">
        <v>21</v>
      </c>
      <c r="T64">
        <v>26</v>
      </c>
      <c r="U64">
        <v>226</v>
      </c>
      <c r="V64">
        <v>118</v>
      </c>
      <c r="W64">
        <v>108</v>
      </c>
    </row>
    <row r="65" spans="1:23" hidden="1" x14ac:dyDescent="0.25">
      <c r="A65">
        <v>21</v>
      </c>
      <c r="B65" t="s">
        <v>21</v>
      </c>
      <c r="C65">
        <v>2020</v>
      </c>
      <c r="D65" t="s">
        <v>217</v>
      </c>
      <c r="E65">
        <v>20495</v>
      </c>
      <c r="G65">
        <v>10867</v>
      </c>
      <c r="H65">
        <v>9628</v>
      </c>
      <c r="I65">
        <v>9176</v>
      </c>
      <c r="J65">
        <v>4686</v>
      </c>
      <c r="K65">
        <v>4490</v>
      </c>
      <c r="L65">
        <v>1719</v>
      </c>
      <c r="M65">
        <v>1018</v>
      </c>
      <c r="N65">
        <v>701</v>
      </c>
      <c r="O65">
        <v>9084</v>
      </c>
      <c r="P65">
        <v>4871</v>
      </c>
      <c r="Q65">
        <v>4213</v>
      </c>
      <c r="R65">
        <v>108</v>
      </c>
      <c r="S65">
        <v>53</v>
      </c>
      <c r="T65">
        <v>55</v>
      </c>
      <c r="U65">
        <v>408</v>
      </c>
      <c r="V65">
        <v>239</v>
      </c>
      <c r="W65">
        <v>169</v>
      </c>
    </row>
    <row r="66" spans="1:23" hidden="1" x14ac:dyDescent="0.25">
      <c r="A66">
        <v>21</v>
      </c>
      <c r="B66" t="s">
        <v>21</v>
      </c>
      <c r="C66">
        <v>2020</v>
      </c>
      <c r="D66" t="s">
        <v>218</v>
      </c>
      <c r="E66">
        <v>22349</v>
      </c>
      <c r="G66">
        <v>11199</v>
      </c>
      <c r="H66">
        <v>11150</v>
      </c>
      <c r="I66">
        <v>13476</v>
      </c>
      <c r="J66">
        <v>6528</v>
      </c>
      <c r="K66">
        <v>6948</v>
      </c>
      <c r="L66">
        <v>1575</v>
      </c>
      <c r="M66">
        <v>827</v>
      </c>
      <c r="N66">
        <v>748</v>
      </c>
      <c r="O66">
        <v>6797</v>
      </c>
      <c r="P66">
        <v>3615</v>
      </c>
      <c r="Q66">
        <v>3182</v>
      </c>
      <c r="R66">
        <v>178</v>
      </c>
      <c r="S66">
        <v>86</v>
      </c>
      <c r="T66">
        <v>92</v>
      </c>
      <c r="U66">
        <v>323</v>
      </c>
      <c r="V66">
        <v>143</v>
      </c>
      <c r="W66">
        <v>180</v>
      </c>
    </row>
    <row r="67" spans="1:23" hidden="1" x14ac:dyDescent="0.25">
      <c r="A67">
        <v>21</v>
      </c>
      <c r="B67" t="s">
        <v>21</v>
      </c>
      <c r="C67">
        <v>2020</v>
      </c>
      <c r="D67" t="s">
        <v>219</v>
      </c>
      <c r="E67">
        <v>14474</v>
      </c>
      <c r="G67">
        <v>6798</v>
      </c>
      <c r="H67">
        <v>7676</v>
      </c>
      <c r="I67">
        <v>11145</v>
      </c>
      <c r="J67">
        <v>5191</v>
      </c>
      <c r="K67">
        <v>5954</v>
      </c>
      <c r="L67">
        <v>828</v>
      </c>
      <c r="M67">
        <v>426</v>
      </c>
      <c r="N67">
        <v>402</v>
      </c>
      <c r="O67">
        <v>2163</v>
      </c>
      <c r="P67">
        <v>1032</v>
      </c>
      <c r="Q67">
        <v>1131</v>
      </c>
      <c r="R67">
        <v>82</v>
      </c>
      <c r="S67">
        <v>30</v>
      </c>
      <c r="T67">
        <v>52</v>
      </c>
      <c r="U67">
        <v>256</v>
      </c>
      <c r="V67">
        <v>119</v>
      </c>
      <c r="W67">
        <v>137</v>
      </c>
    </row>
    <row r="68" spans="1:23" x14ac:dyDescent="0.25">
      <c r="A68">
        <v>21</v>
      </c>
      <c r="B68" t="s">
        <v>21</v>
      </c>
      <c r="C68">
        <v>2021</v>
      </c>
      <c r="D68" t="s">
        <v>214</v>
      </c>
      <c r="E68">
        <v>87351</v>
      </c>
      <c r="F68" s="244">
        <f>(E68-E62)/E62</f>
        <v>1.4470704372568376E-2</v>
      </c>
      <c r="G68">
        <v>44327</v>
      </c>
      <c r="H68">
        <v>43024</v>
      </c>
      <c r="I68">
        <v>44819</v>
      </c>
      <c r="J68">
        <v>22080</v>
      </c>
      <c r="K68">
        <v>22739</v>
      </c>
      <c r="L68">
        <v>6129</v>
      </c>
      <c r="M68">
        <v>3260</v>
      </c>
      <c r="N68">
        <v>2869</v>
      </c>
      <c r="O68">
        <v>34036</v>
      </c>
      <c r="P68">
        <v>17805</v>
      </c>
      <c r="Q68">
        <v>16231</v>
      </c>
      <c r="R68">
        <v>513</v>
      </c>
      <c r="S68">
        <v>242</v>
      </c>
      <c r="T68">
        <v>271</v>
      </c>
      <c r="U68">
        <v>1854</v>
      </c>
      <c r="V68">
        <v>940</v>
      </c>
      <c r="W68">
        <v>914</v>
      </c>
    </row>
    <row r="69" spans="1:23" hidden="1" x14ac:dyDescent="0.25">
      <c r="A69">
        <v>21</v>
      </c>
      <c r="B69" t="s">
        <v>21</v>
      </c>
      <c r="C69">
        <v>2021</v>
      </c>
      <c r="D69" t="s">
        <v>215</v>
      </c>
      <c r="E69">
        <v>20992</v>
      </c>
      <c r="G69">
        <v>10720</v>
      </c>
      <c r="H69">
        <v>10272</v>
      </c>
      <c r="I69">
        <v>7306</v>
      </c>
      <c r="J69">
        <v>3761</v>
      </c>
      <c r="K69">
        <v>3545</v>
      </c>
      <c r="L69">
        <v>1472</v>
      </c>
      <c r="M69">
        <v>738</v>
      </c>
      <c r="N69">
        <v>734</v>
      </c>
      <c r="O69">
        <v>11514</v>
      </c>
      <c r="P69">
        <v>5863</v>
      </c>
      <c r="Q69">
        <v>5651</v>
      </c>
      <c r="R69">
        <v>92</v>
      </c>
      <c r="S69">
        <v>50</v>
      </c>
      <c r="T69">
        <v>42</v>
      </c>
      <c r="U69">
        <v>608</v>
      </c>
      <c r="V69">
        <v>308</v>
      </c>
      <c r="W69">
        <v>300</v>
      </c>
    </row>
    <row r="70" spans="1:23" hidden="1" x14ac:dyDescent="0.25">
      <c r="A70">
        <v>21</v>
      </c>
      <c r="B70" t="s">
        <v>21</v>
      </c>
      <c r="C70">
        <v>2021</v>
      </c>
      <c r="D70" t="s">
        <v>216</v>
      </c>
      <c r="E70">
        <v>8087</v>
      </c>
      <c r="G70">
        <v>4281</v>
      </c>
      <c r="H70">
        <v>3806</v>
      </c>
      <c r="I70">
        <v>3445</v>
      </c>
      <c r="J70">
        <v>1814</v>
      </c>
      <c r="K70">
        <v>1631</v>
      </c>
      <c r="L70">
        <v>505</v>
      </c>
      <c r="M70">
        <v>237</v>
      </c>
      <c r="N70">
        <v>268</v>
      </c>
      <c r="O70">
        <v>3841</v>
      </c>
      <c r="P70">
        <v>2086</v>
      </c>
      <c r="Q70">
        <v>1755</v>
      </c>
      <c r="R70">
        <v>51</v>
      </c>
      <c r="S70">
        <v>21</v>
      </c>
      <c r="T70">
        <v>30</v>
      </c>
      <c r="U70">
        <v>245</v>
      </c>
      <c r="V70">
        <v>123</v>
      </c>
      <c r="W70">
        <v>122</v>
      </c>
    </row>
    <row r="71" spans="1:23" hidden="1" x14ac:dyDescent="0.25">
      <c r="A71">
        <v>21</v>
      </c>
      <c r="B71" t="s">
        <v>21</v>
      </c>
      <c r="C71">
        <v>2021</v>
      </c>
      <c r="D71" t="s">
        <v>217</v>
      </c>
      <c r="E71">
        <v>20965</v>
      </c>
      <c r="G71">
        <v>11134</v>
      </c>
      <c r="H71">
        <v>9831</v>
      </c>
      <c r="I71">
        <v>9336</v>
      </c>
      <c r="J71">
        <v>4783</v>
      </c>
      <c r="K71">
        <v>4553</v>
      </c>
      <c r="L71">
        <v>1757</v>
      </c>
      <c r="M71">
        <v>1034</v>
      </c>
      <c r="N71">
        <v>723</v>
      </c>
      <c r="O71">
        <v>9351</v>
      </c>
      <c r="P71">
        <v>5017</v>
      </c>
      <c r="Q71">
        <v>4334</v>
      </c>
      <c r="R71">
        <v>107</v>
      </c>
      <c r="S71">
        <v>53</v>
      </c>
      <c r="T71">
        <v>54</v>
      </c>
      <c r="U71">
        <v>414</v>
      </c>
      <c r="V71">
        <v>247</v>
      </c>
      <c r="W71">
        <v>167</v>
      </c>
    </row>
    <row r="72" spans="1:23" hidden="1" x14ac:dyDescent="0.25">
      <c r="A72">
        <v>21</v>
      </c>
      <c r="B72" t="s">
        <v>21</v>
      </c>
      <c r="C72">
        <v>2021</v>
      </c>
      <c r="D72" t="s">
        <v>218</v>
      </c>
      <c r="E72">
        <v>22186</v>
      </c>
      <c r="G72">
        <v>11132</v>
      </c>
      <c r="H72">
        <v>11054</v>
      </c>
      <c r="I72">
        <v>13137</v>
      </c>
      <c r="J72">
        <v>6364</v>
      </c>
      <c r="K72">
        <v>6773</v>
      </c>
      <c r="L72">
        <v>1543</v>
      </c>
      <c r="M72">
        <v>817</v>
      </c>
      <c r="N72">
        <v>726</v>
      </c>
      <c r="O72">
        <v>7003</v>
      </c>
      <c r="P72">
        <v>3718</v>
      </c>
      <c r="Q72">
        <v>3285</v>
      </c>
      <c r="R72">
        <v>178</v>
      </c>
      <c r="S72">
        <v>87</v>
      </c>
      <c r="T72">
        <v>91</v>
      </c>
      <c r="U72">
        <v>325</v>
      </c>
      <c r="V72">
        <v>146</v>
      </c>
      <c r="W72">
        <v>179</v>
      </c>
    </row>
    <row r="73" spans="1:23" hidden="1" x14ac:dyDescent="0.25">
      <c r="A73">
        <v>21</v>
      </c>
      <c r="B73" t="s">
        <v>21</v>
      </c>
      <c r="C73">
        <v>2021</v>
      </c>
      <c r="D73" t="s">
        <v>219</v>
      </c>
      <c r="E73">
        <v>15121</v>
      </c>
      <c r="G73">
        <v>7060</v>
      </c>
      <c r="H73">
        <v>8061</v>
      </c>
      <c r="I73">
        <v>11595</v>
      </c>
      <c r="J73">
        <v>5358</v>
      </c>
      <c r="K73">
        <v>6237</v>
      </c>
      <c r="L73">
        <v>852</v>
      </c>
      <c r="M73">
        <v>434</v>
      </c>
      <c r="N73">
        <v>418</v>
      </c>
      <c r="O73">
        <v>2327</v>
      </c>
      <c r="P73">
        <v>1121</v>
      </c>
      <c r="Q73">
        <v>1206</v>
      </c>
      <c r="R73">
        <v>85</v>
      </c>
      <c r="S73">
        <v>31</v>
      </c>
      <c r="T73">
        <v>54</v>
      </c>
      <c r="U73">
        <v>262</v>
      </c>
      <c r="V73">
        <v>116</v>
      </c>
      <c r="W73">
        <v>146</v>
      </c>
    </row>
    <row r="74" spans="1:23" x14ac:dyDescent="0.25">
      <c r="A74">
        <v>21</v>
      </c>
      <c r="B74" t="s">
        <v>21</v>
      </c>
      <c r="C74">
        <v>2022</v>
      </c>
      <c r="D74" t="s">
        <v>214</v>
      </c>
      <c r="E74">
        <v>88616</v>
      </c>
      <c r="F74" s="244">
        <f>(E74-E68)/E68</f>
        <v>1.4481803299332578E-2</v>
      </c>
      <c r="G74">
        <v>44920</v>
      </c>
      <c r="H74">
        <v>43696</v>
      </c>
      <c r="I74">
        <v>44981</v>
      </c>
      <c r="J74">
        <v>22128</v>
      </c>
      <c r="K74">
        <v>22853</v>
      </c>
      <c r="L74">
        <v>6209</v>
      </c>
      <c r="M74">
        <v>3299</v>
      </c>
      <c r="N74">
        <v>2910</v>
      </c>
      <c r="O74">
        <v>35028</v>
      </c>
      <c r="P74">
        <v>18296</v>
      </c>
      <c r="Q74">
        <v>16732</v>
      </c>
      <c r="R74">
        <v>517</v>
      </c>
      <c r="S74">
        <v>245</v>
      </c>
      <c r="T74">
        <v>272</v>
      </c>
      <c r="U74">
        <v>1881</v>
      </c>
      <c r="V74">
        <v>952</v>
      </c>
      <c r="W74">
        <v>929</v>
      </c>
    </row>
    <row r="75" spans="1:23" hidden="1" x14ac:dyDescent="0.25">
      <c r="A75">
        <v>21</v>
      </c>
      <c r="B75" t="s">
        <v>21</v>
      </c>
      <c r="C75">
        <v>2022</v>
      </c>
      <c r="D75" t="s">
        <v>215</v>
      </c>
      <c r="E75">
        <v>21221</v>
      </c>
      <c r="G75">
        <v>10860</v>
      </c>
      <c r="H75">
        <v>10361</v>
      </c>
      <c r="I75">
        <v>7295</v>
      </c>
      <c r="J75">
        <v>3751</v>
      </c>
      <c r="K75">
        <v>3544</v>
      </c>
      <c r="L75">
        <v>1507</v>
      </c>
      <c r="M75">
        <v>764</v>
      </c>
      <c r="N75">
        <v>743</v>
      </c>
      <c r="O75">
        <v>11719</v>
      </c>
      <c r="P75">
        <v>5985</v>
      </c>
      <c r="Q75">
        <v>5734</v>
      </c>
      <c r="R75">
        <v>94</v>
      </c>
      <c r="S75">
        <v>52</v>
      </c>
      <c r="T75">
        <v>42</v>
      </c>
      <c r="U75">
        <v>606</v>
      </c>
      <c r="V75">
        <v>308</v>
      </c>
      <c r="W75">
        <v>298</v>
      </c>
    </row>
    <row r="76" spans="1:23" hidden="1" x14ac:dyDescent="0.25">
      <c r="A76">
        <v>21</v>
      </c>
      <c r="B76" t="s">
        <v>21</v>
      </c>
      <c r="C76">
        <v>2022</v>
      </c>
      <c r="D76" t="s">
        <v>216</v>
      </c>
      <c r="E76">
        <v>8163</v>
      </c>
      <c r="G76">
        <v>4295</v>
      </c>
      <c r="H76">
        <v>3868</v>
      </c>
      <c r="I76">
        <v>3369</v>
      </c>
      <c r="J76">
        <v>1772</v>
      </c>
      <c r="K76">
        <v>1597</v>
      </c>
      <c r="L76">
        <v>483</v>
      </c>
      <c r="M76">
        <v>223</v>
      </c>
      <c r="N76">
        <v>260</v>
      </c>
      <c r="O76">
        <v>4012</v>
      </c>
      <c r="P76">
        <v>2154</v>
      </c>
      <c r="Q76">
        <v>1858</v>
      </c>
      <c r="R76">
        <v>50</v>
      </c>
      <c r="S76">
        <v>22</v>
      </c>
      <c r="T76">
        <v>28</v>
      </c>
      <c r="U76">
        <v>249</v>
      </c>
      <c r="V76">
        <v>124</v>
      </c>
      <c r="W76">
        <v>125</v>
      </c>
    </row>
    <row r="77" spans="1:23" hidden="1" x14ac:dyDescent="0.25">
      <c r="A77">
        <v>21</v>
      </c>
      <c r="B77" t="s">
        <v>21</v>
      </c>
      <c r="C77">
        <v>2022</v>
      </c>
      <c r="D77" t="s">
        <v>217</v>
      </c>
      <c r="E77">
        <v>21412</v>
      </c>
      <c r="G77">
        <v>11378</v>
      </c>
      <c r="H77">
        <v>10034</v>
      </c>
      <c r="I77">
        <v>9481</v>
      </c>
      <c r="J77">
        <v>4877</v>
      </c>
      <c r="K77">
        <v>4604</v>
      </c>
      <c r="L77">
        <v>1841</v>
      </c>
      <c r="M77">
        <v>1065</v>
      </c>
      <c r="N77">
        <v>776</v>
      </c>
      <c r="O77">
        <v>9554</v>
      </c>
      <c r="P77">
        <v>5128</v>
      </c>
      <c r="Q77">
        <v>4426</v>
      </c>
      <c r="R77">
        <v>97</v>
      </c>
      <c r="S77">
        <v>48</v>
      </c>
      <c r="T77">
        <v>49</v>
      </c>
      <c r="U77">
        <v>439</v>
      </c>
      <c r="V77">
        <v>260</v>
      </c>
      <c r="W77">
        <v>179</v>
      </c>
    </row>
    <row r="78" spans="1:23" hidden="1" x14ac:dyDescent="0.25">
      <c r="A78">
        <v>21</v>
      </c>
      <c r="B78" t="s">
        <v>21</v>
      </c>
      <c r="C78">
        <v>2022</v>
      </c>
      <c r="D78" t="s">
        <v>218</v>
      </c>
      <c r="E78">
        <v>22034</v>
      </c>
      <c r="G78">
        <v>11006</v>
      </c>
      <c r="H78">
        <v>11028</v>
      </c>
      <c r="I78">
        <v>12783</v>
      </c>
      <c r="J78">
        <v>6156</v>
      </c>
      <c r="K78">
        <v>6627</v>
      </c>
      <c r="L78">
        <v>1504</v>
      </c>
      <c r="M78">
        <v>796</v>
      </c>
      <c r="N78">
        <v>708</v>
      </c>
      <c r="O78">
        <v>7249</v>
      </c>
      <c r="P78">
        <v>3822</v>
      </c>
      <c r="Q78">
        <v>3427</v>
      </c>
      <c r="R78">
        <v>183</v>
      </c>
      <c r="S78">
        <v>88</v>
      </c>
      <c r="T78">
        <v>95</v>
      </c>
      <c r="U78">
        <v>315</v>
      </c>
      <c r="V78">
        <v>144</v>
      </c>
      <c r="W78">
        <v>171</v>
      </c>
    </row>
    <row r="79" spans="1:23" hidden="1" x14ac:dyDescent="0.25">
      <c r="A79">
        <v>21</v>
      </c>
      <c r="B79" t="s">
        <v>21</v>
      </c>
      <c r="C79">
        <v>2022</v>
      </c>
      <c r="D79" t="s">
        <v>219</v>
      </c>
      <c r="E79">
        <v>15786</v>
      </c>
      <c r="G79">
        <v>7381</v>
      </c>
      <c r="H79">
        <v>8405</v>
      </c>
      <c r="I79">
        <v>12053</v>
      </c>
      <c r="J79">
        <v>5572</v>
      </c>
      <c r="K79">
        <v>6481</v>
      </c>
      <c r="L79">
        <v>874</v>
      </c>
      <c r="M79">
        <v>451</v>
      </c>
      <c r="N79">
        <v>423</v>
      </c>
      <c r="O79">
        <v>2494</v>
      </c>
      <c r="P79">
        <v>1207</v>
      </c>
      <c r="Q79">
        <v>1287</v>
      </c>
      <c r="R79">
        <v>93</v>
      </c>
      <c r="S79">
        <v>35</v>
      </c>
      <c r="T79">
        <v>58</v>
      </c>
      <c r="U79">
        <v>272</v>
      </c>
      <c r="V79">
        <v>116</v>
      </c>
      <c r="W79">
        <v>156</v>
      </c>
    </row>
    <row r="80" spans="1:23" x14ac:dyDescent="0.25">
      <c r="A80">
        <v>21</v>
      </c>
      <c r="B80" t="s">
        <v>21</v>
      </c>
      <c r="C80">
        <v>2023</v>
      </c>
      <c r="D80" t="s">
        <v>214</v>
      </c>
      <c r="E80">
        <v>89909</v>
      </c>
      <c r="F80" s="244">
        <f>(E80-E74)/E74</f>
        <v>1.459104450663537E-2</v>
      </c>
      <c r="G80">
        <v>45546</v>
      </c>
      <c r="H80">
        <v>44363</v>
      </c>
      <c r="I80">
        <v>45150</v>
      </c>
      <c r="J80">
        <v>22188</v>
      </c>
      <c r="K80">
        <v>22962</v>
      </c>
      <c r="L80">
        <v>6281</v>
      </c>
      <c r="M80">
        <v>3335</v>
      </c>
      <c r="N80">
        <v>2946</v>
      </c>
      <c r="O80">
        <v>36040</v>
      </c>
      <c r="P80">
        <v>18802</v>
      </c>
      <c r="Q80">
        <v>17238</v>
      </c>
      <c r="R80">
        <v>522</v>
      </c>
      <c r="S80">
        <v>248</v>
      </c>
      <c r="T80">
        <v>274</v>
      </c>
      <c r="U80">
        <v>1916</v>
      </c>
      <c r="V80">
        <v>973</v>
      </c>
      <c r="W80">
        <v>943</v>
      </c>
    </row>
    <row r="81" spans="1:23" hidden="1" x14ac:dyDescent="0.25">
      <c r="A81">
        <v>21</v>
      </c>
      <c r="B81" t="s">
        <v>21</v>
      </c>
      <c r="C81">
        <v>2023</v>
      </c>
      <c r="D81" t="s">
        <v>215</v>
      </c>
      <c r="E81">
        <v>21424</v>
      </c>
      <c r="G81">
        <v>10917</v>
      </c>
      <c r="H81">
        <v>10507</v>
      </c>
      <c r="I81">
        <v>7251</v>
      </c>
      <c r="J81">
        <v>3714</v>
      </c>
      <c r="K81">
        <v>3537</v>
      </c>
      <c r="L81">
        <v>1559</v>
      </c>
      <c r="M81">
        <v>789</v>
      </c>
      <c r="N81">
        <v>770</v>
      </c>
      <c r="O81">
        <v>11903</v>
      </c>
      <c r="P81">
        <v>6047</v>
      </c>
      <c r="Q81">
        <v>5856</v>
      </c>
      <c r="R81">
        <v>94</v>
      </c>
      <c r="S81">
        <v>53</v>
      </c>
      <c r="T81">
        <v>41</v>
      </c>
      <c r="U81">
        <v>617</v>
      </c>
      <c r="V81">
        <v>314</v>
      </c>
      <c r="W81">
        <v>303</v>
      </c>
    </row>
    <row r="82" spans="1:23" hidden="1" x14ac:dyDescent="0.25">
      <c r="A82">
        <v>21</v>
      </c>
      <c r="B82" t="s">
        <v>21</v>
      </c>
      <c r="C82">
        <v>2023</v>
      </c>
      <c r="D82" t="s">
        <v>216</v>
      </c>
      <c r="E82">
        <v>8261</v>
      </c>
      <c r="G82">
        <v>4401</v>
      </c>
      <c r="H82">
        <v>3860</v>
      </c>
      <c r="I82">
        <v>3336</v>
      </c>
      <c r="J82">
        <v>1783</v>
      </c>
      <c r="K82">
        <v>1553</v>
      </c>
      <c r="L82">
        <v>462</v>
      </c>
      <c r="M82">
        <v>220</v>
      </c>
      <c r="N82">
        <v>242</v>
      </c>
      <c r="O82">
        <v>4171</v>
      </c>
      <c r="P82">
        <v>2253</v>
      </c>
      <c r="Q82">
        <v>1918</v>
      </c>
      <c r="R82">
        <v>46</v>
      </c>
      <c r="S82">
        <v>21</v>
      </c>
      <c r="T82">
        <v>25</v>
      </c>
      <c r="U82">
        <v>246</v>
      </c>
      <c r="V82">
        <v>124</v>
      </c>
      <c r="W82">
        <v>122</v>
      </c>
    </row>
    <row r="83" spans="1:23" hidden="1" x14ac:dyDescent="0.25">
      <c r="A83">
        <v>21</v>
      </c>
      <c r="B83" t="s">
        <v>21</v>
      </c>
      <c r="C83">
        <v>2023</v>
      </c>
      <c r="D83" t="s">
        <v>217</v>
      </c>
      <c r="E83">
        <v>21956</v>
      </c>
      <c r="G83">
        <v>11623</v>
      </c>
      <c r="H83">
        <v>10333</v>
      </c>
      <c r="I83">
        <v>9653</v>
      </c>
      <c r="J83">
        <v>4961</v>
      </c>
      <c r="K83">
        <v>4692</v>
      </c>
      <c r="L83">
        <v>1895</v>
      </c>
      <c r="M83">
        <v>1076</v>
      </c>
      <c r="N83">
        <v>819</v>
      </c>
      <c r="O83">
        <v>9846</v>
      </c>
      <c r="P83">
        <v>5266</v>
      </c>
      <c r="Q83">
        <v>4580</v>
      </c>
      <c r="R83">
        <v>101</v>
      </c>
      <c r="S83">
        <v>51</v>
      </c>
      <c r="T83">
        <v>50</v>
      </c>
      <c r="U83">
        <v>461</v>
      </c>
      <c r="V83">
        <v>269</v>
      </c>
      <c r="W83">
        <v>192</v>
      </c>
    </row>
    <row r="84" spans="1:23" hidden="1" x14ac:dyDescent="0.25">
      <c r="A84">
        <v>21</v>
      </c>
      <c r="B84" t="s">
        <v>21</v>
      </c>
      <c r="C84">
        <v>2023</v>
      </c>
      <c r="D84" t="s">
        <v>218</v>
      </c>
      <c r="E84">
        <v>21817</v>
      </c>
      <c r="G84">
        <v>10966</v>
      </c>
      <c r="H84">
        <v>10851</v>
      </c>
      <c r="I84">
        <v>12406</v>
      </c>
      <c r="J84">
        <v>6006</v>
      </c>
      <c r="K84">
        <v>6400</v>
      </c>
      <c r="L84">
        <v>1468</v>
      </c>
      <c r="M84">
        <v>786</v>
      </c>
      <c r="N84">
        <v>682</v>
      </c>
      <c r="O84">
        <v>7449</v>
      </c>
      <c r="P84">
        <v>3945</v>
      </c>
      <c r="Q84">
        <v>3504</v>
      </c>
      <c r="R84">
        <v>182</v>
      </c>
      <c r="S84">
        <v>85</v>
      </c>
      <c r="T84">
        <v>97</v>
      </c>
      <c r="U84">
        <v>312</v>
      </c>
      <c r="V84">
        <v>144</v>
      </c>
      <c r="W84">
        <v>168</v>
      </c>
    </row>
    <row r="85" spans="1:23" hidden="1" x14ac:dyDescent="0.25">
      <c r="A85">
        <v>21</v>
      </c>
      <c r="B85" t="s">
        <v>21</v>
      </c>
      <c r="C85">
        <v>2023</v>
      </c>
      <c r="D85" t="s">
        <v>219</v>
      </c>
      <c r="E85">
        <v>16451</v>
      </c>
      <c r="G85">
        <v>7639</v>
      </c>
      <c r="H85">
        <v>8812</v>
      </c>
      <c r="I85">
        <v>12504</v>
      </c>
      <c r="J85">
        <v>5724</v>
      </c>
      <c r="K85">
        <v>6780</v>
      </c>
      <c r="L85">
        <v>897</v>
      </c>
      <c r="M85">
        <v>464</v>
      </c>
      <c r="N85">
        <v>433</v>
      </c>
      <c r="O85">
        <v>2671</v>
      </c>
      <c r="P85">
        <v>1291</v>
      </c>
      <c r="Q85">
        <v>1380</v>
      </c>
      <c r="R85">
        <v>99</v>
      </c>
      <c r="S85">
        <v>38</v>
      </c>
      <c r="T85">
        <v>61</v>
      </c>
      <c r="U85">
        <v>280</v>
      </c>
      <c r="V85">
        <v>122</v>
      </c>
      <c r="W85">
        <v>158</v>
      </c>
    </row>
    <row r="86" spans="1:23" x14ac:dyDescent="0.25">
      <c r="A86">
        <v>21</v>
      </c>
      <c r="B86" t="s">
        <v>21</v>
      </c>
      <c r="C86">
        <v>2024</v>
      </c>
      <c r="D86" t="s">
        <v>214</v>
      </c>
      <c r="E86">
        <v>91201</v>
      </c>
      <c r="F86" s="244">
        <f>(E86-E80)/E80</f>
        <v>1.4370085308478572E-2</v>
      </c>
      <c r="G86">
        <v>46160</v>
      </c>
      <c r="H86">
        <v>45041</v>
      </c>
      <c r="I86">
        <v>45286</v>
      </c>
      <c r="J86">
        <v>22224</v>
      </c>
      <c r="K86">
        <v>23062</v>
      </c>
      <c r="L86">
        <v>6368</v>
      </c>
      <c r="M86">
        <v>3379</v>
      </c>
      <c r="N86">
        <v>2989</v>
      </c>
      <c r="O86">
        <v>37069</v>
      </c>
      <c r="P86">
        <v>19312</v>
      </c>
      <c r="Q86">
        <v>17757</v>
      </c>
      <c r="R86">
        <v>532</v>
      </c>
      <c r="S86">
        <v>256</v>
      </c>
      <c r="T86">
        <v>276</v>
      </c>
      <c r="U86">
        <v>1946</v>
      </c>
      <c r="V86">
        <v>989</v>
      </c>
      <c r="W86">
        <v>957</v>
      </c>
    </row>
    <row r="87" spans="1:23" hidden="1" x14ac:dyDescent="0.25">
      <c r="A87">
        <v>21</v>
      </c>
      <c r="B87" t="s">
        <v>21</v>
      </c>
      <c r="C87">
        <v>2024</v>
      </c>
      <c r="D87" t="s">
        <v>215</v>
      </c>
      <c r="E87">
        <v>21698</v>
      </c>
      <c r="G87">
        <v>11043</v>
      </c>
      <c r="H87">
        <v>10655</v>
      </c>
      <c r="I87">
        <v>7263</v>
      </c>
      <c r="J87">
        <v>3716</v>
      </c>
      <c r="K87">
        <v>3547</v>
      </c>
      <c r="L87">
        <v>1603</v>
      </c>
      <c r="M87">
        <v>813</v>
      </c>
      <c r="N87">
        <v>790</v>
      </c>
      <c r="O87">
        <v>12122</v>
      </c>
      <c r="P87">
        <v>6146</v>
      </c>
      <c r="Q87">
        <v>5976</v>
      </c>
      <c r="R87">
        <v>103</v>
      </c>
      <c r="S87">
        <v>58</v>
      </c>
      <c r="T87">
        <v>45</v>
      </c>
      <c r="U87">
        <v>607</v>
      </c>
      <c r="V87">
        <v>310</v>
      </c>
      <c r="W87">
        <v>297</v>
      </c>
    </row>
    <row r="88" spans="1:23" hidden="1" x14ac:dyDescent="0.25">
      <c r="A88">
        <v>21</v>
      </c>
      <c r="B88" t="s">
        <v>21</v>
      </c>
      <c r="C88">
        <v>2024</v>
      </c>
      <c r="D88" t="s">
        <v>216</v>
      </c>
      <c r="E88">
        <v>8258</v>
      </c>
      <c r="G88">
        <v>4399</v>
      </c>
      <c r="H88">
        <v>3859</v>
      </c>
      <c r="I88">
        <v>3227</v>
      </c>
      <c r="J88">
        <v>1726</v>
      </c>
      <c r="K88">
        <v>1501</v>
      </c>
      <c r="L88">
        <v>462</v>
      </c>
      <c r="M88">
        <v>223</v>
      </c>
      <c r="N88">
        <v>239</v>
      </c>
      <c r="O88">
        <v>4260</v>
      </c>
      <c r="P88">
        <v>2293</v>
      </c>
      <c r="Q88">
        <v>1967</v>
      </c>
      <c r="R88">
        <v>46</v>
      </c>
      <c r="S88">
        <v>21</v>
      </c>
      <c r="T88">
        <v>25</v>
      </c>
      <c r="U88">
        <v>263</v>
      </c>
      <c r="V88">
        <v>136</v>
      </c>
      <c r="W88">
        <v>127</v>
      </c>
    </row>
    <row r="89" spans="1:23" hidden="1" x14ac:dyDescent="0.25">
      <c r="A89">
        <v>21</v>
      </c>
      <c r="B89" t="s">
        <v>21</v>
      </c>
      <c r="C89">
        <v>2024</v>
      </c>
      <c r="D89" t="s">
        <v>217</v>
      </c>
      <c r="E89">
        <v>22473</v>
      </c>
      <c r="G89">
        <v>11916</v>
      </c>
      <c r="H89">
        <v>10557</v>
      </c>
      <c r="I89">
        <v>9789</v>
      </c>
      <c r="J89">
        <v>5072</v>
      </c>
      <c r="K89">
        <v>4717</v>
      </c>
      <c r="L89">
        <v>1947</v>
      </c>
      <c r="M89">
        <v>1092</v>
      </c>
      <c r="N89">
        <v>855</v>
      </c>
      <c r="O89">
        <v>10159</v>
      </c>
      <c r="P89">
        <v>5425</v>
      </c>
      <c r="Q89">
        <v>4734</v>
      </c>
      <c r="R89">
        <v>100</v>
      </c>
      <c r="S89">
        <v>53</v>
      </c>
      <c r="T89">
        <v>47</v>
      </c>
      <c r="U89">
        <v>478</v>
      </c>
      <c r="V89">
        <v>274</v>
      </c>
      <c r="W89">
        <v>204</v>
      </c>
    </row>
    <row r="90" spans="1:23" hidden="1" x14ac:dyDescent="0.25">
      <c r="A90">
        <v>21</v>
      </c>
      <c r="B90" t="s">
        <v>21</v>
      </c>
      <c r="C90">
        <v>2024</v>
      </c>
      <c r="D90" t="s">
        <v>218</v>
      </c>
      <c r="E90">
        <v>21697</v>
      </c>
      <c r="G90">
        <v>10890</v>
      </c>
      <c r="H90">
        <v>10807</v>
      </c>
      <c r="I90">
        <v>12094</v>
      </c>
      <c r="J90">
        <v>5817</v>
      </c>
      <c r="K90">
        <v>6277</v>
      </c>
      <c r="L90">
        <v>1429</v>
      </c>
      <c r="M90">
        <v>768</v>
      </c>
      <c r="N90">
        <v>661</v>
      </c>
      <c r="O90">
        <v>7691</v>
      </c>
      <c r="P90">
        <v>4080</v>
      </c>
      <c r="Q90">
        <v>3611</v>
      </c>
      <c r="R90">
        <v>178</v>
      </c>
      <c r="S90">
        <v>82</v>
      </c>
      <c r="T90">
        <v>96</v>
      </c>
      <c r="U90">
        <v>305</v>
      </c>
      <c r="V90">
        <v>143</v>
      </c>
      <c r="W90">
        <v>162</v>
      </c>
    </row>
    <row r="91" spans="1:23" hidden="1" x14ac:dyDescent="0.25">
      <c r="A91">
        <v>21</v>
      </c>
      <c r="B91" t="s">
        <v>21</v>
      </c>
      <c r="C91">
        <v>2024</v>
      </c>
      <c r="D91" t="s">
        <v>219</v>
      </c>
      <c r="E91">
        <v>17075</v>
      </c>
      <c r="G91">
        <v>7912</v>
      </c>
      <c r="H91">
        <v>9163</v>
      </c>
      <c r="I91">
        <v>12913</v>
      </c>
      <c r="J91">
        <v>5893</v>
      </c>
      <c r="K91">
        <v>7020</v>
      </c>
      <c r="L91">
        <v>927</v>
      </c>
      <c r="M91">
        <v>483</v>
      </c>
      <c r="N91">
        <v>444</v>
      </c>
      <c r="O91">
        <v>2837</v>
      </c>
      <c r="P91">
        <v>1368</v>
      </c>
      <c r="Q91">
        <v>1469</v>
      </c>
      <c r="R91">
        <v>105</v>
      </c>
      <c r="S91">
        <v>42</v>
      </c>
      <c r="T91">
        <v>63</v>
      </c>
      <c r="U91">
        <v>293</v>
      </c>
      <c r="V91">
        <v>126</v>
      </c>
      <c r="W91">
        <v>167</v>
      </c>
    </row>
    <row r="92" spans="1:23" x14ac:dyDescent="0.25">
      <c r="A92">
        <v>21</v>
      </c>
      <c r="B92" t="s">
        <v>21</v>
      </c>
      <c r="C92">
        <v>2025</v>
      </c>
      <c r="D92" t="s">
        <v>214</v>
      </c>
      <c r="E92">
        <v>92519</v>
      </c>
      <c r="F92" s="244">
        <f>(E92-E86)/E86</f>
        <v>1.4451595925483273E-2</v>
      </c>
      <c r="G92">
        <v>46782</v>
      </c>
      <c r="H92">
        <v>45737</v>
      </c>
      <c r="I92">
        <v>45437</v>
      </c>
      <c r="J92">
        <v>22272</v>
      </c>
      <c r="K92">
        <v>23165</v>
      </c>
      <c r="L92">
        <v>6443</v>
      </c>
      <c r="M92">
        <v>3408</v>
      </c>
      <c r="N92">
        <v>3035</v>
      </c>
      <c r="O92">
        <v>38125</v>
      </c>
      <c r="P92">
        <v>19837</v>
      </c>
      <c r="Q92">
        <v>18288</v>
      </c>
      <c r="R92">
        <v>538</v>
      </c>
      <c r="S92">
        <v>259</v>
      </c>
      <c r="T92">
        <v>279</v>
      </c>
      <c r="U92">
        <v>1976</v>
      </c>
      <c r="V92">
        <v>1006</v>
      </c>
      <c r="W92">
        <v>970</v>
      </c>
    </row>
    <row r="93" spans="1:23" hidden="1" x14ac:dyDescent="0.25">
      <c r="A93">
        <v>21</v>
      </c>
      <c r="B93" t="s">
        <v>21</v>
      </c>
      <c r="C93">
        <v>2025</v>
      </c>
      <c r="D93" t="s">
        <v>215</v>
      </c>
      <c r="E93">
        <v>21919</v>
      </c>
      <c r="G93">
        <v>11122</v>
      </c>
      <c r="H93">
        <v>10797</v>
      </c>
      <c r="I93">
        <v>7306</v>
      </c>
      <c r="J93">
        <v>3699</v>
      </c>
      <c r="K93">
        <v>3607</v>
      </c>
      <c r="L93">
        <v>1637</v>
      </c>
      <c r="M93">
        <v>834</v>
      </c>
      <c r="N93">
        <v>803</v>
      </c>
      <c r="O93">
        <v>12262</v>
      </c>
      <c r="P93">
        <v>6222</v>
      </c>
      <c r="Q93">
        <v>6040</v>
      </c>
      <c r="R93">
        <v>104</v>
      </c>
      <c r="S93">
        <v>60</v>
      </c>
      <c r="T93">
        <v>44</v>
      </c>
      <c r="U93">
        <v>610</v>
      </c>
      <c r="V93">
        <v>307</v>
      </c>
      <c r="W93">
        <v>303</v>
      </c>
    </row>
    <row r="94" spans="1:23" hidden="1" x14ac:dyDescent="0.25">
      <c r="A94">
        <v>21</v>
      </c>
      <c r="B94" t="s">
        <v>21</v>
      </c>
      <c r="C94">
        <v>2025</v>
      </c>
      <c r="D94" t="s">
        <v>216</v>
      </c>
      <c r="E94">
        <v>8346</v>
      </c>
      <c r="G94">
        <v>4431</v>
      </c>
      <c r="H94">
        <v>3915</v>
      </c>
      <c r="I94">
        <v>3117</v>
      </c>
      <c r="J94">
        <v>1690</v>
      </c>
      <c r="K94">
        <v>1427</v>
      </c>
      <c r="L94">
        <v>466</v>
      </c>
      <c r="M94">
        <v>224</v>
      </c>
      <c r="N94">
        <v>242</v>
      </c>
      <c r="O94">
        <v>4447</v>
      </c>
      <c r="P94">
        <v>2356</v>
      </c>
      <c r="Q94">
        <v>2091</v>
      </c>
      <c r="R94">
        <v>42</v>
      </c>
      <c r="S94">
        <v>16</v>
      </c>
      <c r="T94">
        <v>26</v>
      </c>
      <c r="U94">
        <v>274</v>
      </c>
      <c r="V94">
        <v>145</v>
      </c>
      <c r="W94">
        <v>129</v>
      </c>
    </row>
    <row r="95" spans="1:23" hidden="1" x14ac:dyDescent="0.25">
      <c r="A95">
        <v>21</v>
      </c>
      <c r="B95" t="s">
        <v>21</v>
      </c>
      <c r="C95">
        <v>2025</v>
      </c>
      <c r="D95" t="s">
        <v>217</v>
      </c>
      <c r="E95">
        <v>23032</v>
      </c>
      <c r="G95">
        <v>12236</v>
      </c>
      <c r="H95">
        <v>10796</v>
      </c>
      <c r="I95">
        <v>9944</v>
      </c>
      <c r="J95">
        <v>5167</v>
      </c>
      <c r="K95">
        <v>4777</v>
      </c>
      <c r="L95">
        <v>1998</v>
      </c>
      <c r="M95">
        <v>1097</v>
      </c>
      <c r="N95">
        <v>901</v>
      </c>
      <c r="O95">
        <v>10489</v>
      </c>
      <c r="P95">
        <v>5629</v>
      </c>
      <c r="Q95">
        <v>4860</v>
      </c>
      <c r="R95">
        <v>107</v>
      </c>
      <c r="S95">
        <v>59</v>
      </c>
      <c r="T95">
        <v>48</v>
      </c>
      <c r="U95">
        <v>494</v>
      </c>
      <c r="V95">
        <v>284</v>
      </c>
      <c r="W95">
        <v>210</v>
      </c>
    </row>
    <row r="96" spans="1:23" hidden="1" x14ac:dyDescent="0.25">
      <c r="A96">
        <v>21</v>
      </c>
      <c r="B96" t="s">
        <v>21</v>
      </c>
      <c r="C96">
        <v>2025</v>
      </c>
      <c r="D96" t="s">
        <v>218</v>
      </c>
      <c r="E96">
        <v>21537</v>
      </c>
      <c r="G96">
        <v>10809</v>
      </c>
      <c r="H96">
        <v>10728</v>
      </c>
      <c r="I96">
        <v>11784</v>
      </c>
      <c r="J96">
        <v>5681</v>
      </c>
      <c r="K96">
        <v>6103</v>
      </c>
      <c r="L96">
        <v>1395</v>
      </c>
      <c r="M96">
        <v>757</v>
      </c>
      <c r="N96">
        <v>638</v>
      </c>
      <c r="O96">
        <v>7882</v>
      </c>
      <c r="P96">
        <v>4147</v>
      </c>
      <c r="Q96">
        <v>3735</v>
      </c>
      <c r="R96">
        <v>173</v>
      </c>
      <c r="S96">
        <v>80</v>
      </c>
      <c r="T96">
        <v>93</v>
      </c>
      <c r="U96">
        <v>303</v>
      </c>
      <c r="V96">
        <v>144</v>
      </c>
      <c r="W96">
        <v>159</v>
      </c>
    </row>
    <row r="97" spans="1:23" hidden="1" x14ac:dyDescent="0.25">
      <c r="A97">
        <v>21</v>
      </c>
      <c r="B97" t="s">
        <v>21</v>
      </c>
      <c r="C97">
        <v>2025</v>
      </c>
      <c r="D97" t="s">
        <v>219</v>
      </c>
      <c r="E97">
        <v>17685</v>
      </c>
      <c r="G97">
        <v>8184</v>
      </c>
      <c r="H97">
        <v>9501</v>
      </c>
      <c r="I97">
        <v>13286</v>
      </c>
      <c r="J97">
        <v>6035</v>
      </c>
      <c r="K97">
        <v>7251</v>
      </c>
      <c r="L97">
        <v>947</v>
      </c>
      <c r="M97">
        <v>496</v>
      </c>
      <c r="N97">
        <v>451</v>
      </c>
      <c r="O97">
        <v>3045</v>
      </c>
      <c r="P97">
        <v>1483</v>
      </c>
      <c r="Q97">
        <v>1562</v>
      </c>
      <c r="R97">
        <v>112</v>
      </c>
      <c r="S97">
        <v>44</v>
      </c>
      <c r="T97">
        <v>68</v>
      </c>
      <c r="U97">
        <v>295</v>
      </c>
      <c r="V97">
        <v>126</v>
      </c>
      <c r="W97">
        <v>169</v>
      </c>
    </row>
    <row r="98" spans="1:23" x14ac:dyDescent="0.25">
      <c r="A98">
        <v>21</v>
      </c>
      <c r="B98" t="s">
        <v>21</v>
      </c>
      <c r="C98">
        <v>2026</v>
      </c>
      <c r="D98" t="s">
        <v>214</v>
      </c>
      <c r="E98">
        <v>93828</v>
      </c>
      <c r="F98" s="244">
        <f>(E98-E92)/E92</f>
        <v>1.4148445184232429E-2</v>
      </c>
      <c r="G98">
        <v>47391</v>
      </c>
      <c r="H98">
        <v>46437</v>
      </c>
      <c r="I98">
        <v>45570</v>
      </c>
      <c r="J98">
        <v>22308</v>
      </c>
      <c r="K98">
        <v>23262</v>
      </c>
      <c r="L98">
        <v>6516</v>
      </c>
      <c r="M98">
        <v>3437</v>
      </c>
      <c r="N98">
        <v>3079</v>
      </c>
      <c r="O98">
        <v>39197</v>
      </c>
      <c r="P98">
        <v>20365</v>
      </c>
      <c r="Q98">
        <v>18832</v>
      </c>
      <c r="R98">
        <v>542</v>
      </c>
      <c r="S98">
        <v>261</v>
      </c>
      <c r="T98">
        <v>281</v>
      </c>
      <c r="U98">
        <v>2003</v>
      </c>
      <c r="V98">
        <v>1020</v>
      </c>
      <c r="W98">
        <v>983</v>
      </c>
    </row>
    <row r="99" spans="1:23" hidden="1" x14ac:dyDescent="0.25">
      <c r="A99">
        <v>21</v>
      </c>
      <c r="B99" t="s">
        <v>21</v>
      </c>
      <c r="C99">
        <v>2026</v>
      </c>
      <c r="D99" t="s">
        <v>215</v>
      </c>
      <c r="E99">
        <v>22201</v>
      </c>
      <c r="G99">
        <v>11235</v>
      </c>
      <c r="H99">
        <v>10966</v>
      </c>
      <c r="I99">
        <v>7328</v>
      </c>
      <c r="J99">
        <v>3707</v>
      </c>
      <c r="K99">
        <v>3621</v>
      </c>
      <c r="L99">
        <v>1666</v>
      </c>
      <c r="M99">
        <v>851</v>
      </c>
      <c r="N99">
        <v>815</v>
      </c>
      <c r="O99">
        <v>12489</v>
      </c>
      <c r="P99">
        <v>6309</v>
      </c>
      <c r="Q99">
        <v>6180</v>
      </c>
      <c r="R99">
        <v>107</v>
      </c>
      <c r="S99">
        <v>61</v>
      </c>
      <c r="T99">
        <v>46</v>
      </c>
      <c r="U99">
        <v>611</v>
      </c>
      <c r="V99">
        <v>307</v>
      </c>
      <c r="W99">
        <v>304</v>
      </c>
    </row>
    <row r="100" spans="1:23" hidden="1" x14ac:dyDescent="0.25">
      <c r="A100">
        <v>21</v>
      </c>
      <c r="B100" t="s">
        <v>21</v>
      </c>
      <c r="C100">
        <v>2026</v>
      </c>
      <c r="D100" t="s">
        <v>216</v>
      </c>
      <c r="E100">
        <v>8419</v>
      </c>
      <c r="G100">
        <v>4488</v>
      </c>
      <c r="H100">
        <v>3931</v>
      </c>
      <c r="I100">
        <v>3064</v>
      </c>
      <c r="J100">
        <v>1654</v>
      </c>
      <c r="K100">
        <v>1410</v>
      </c>
      <c r="L100">
        <v>486</v>
      </c>
      <c r="M100">
        <v>230</v>
      </c>
      <c r="N100">
        <v>256</v>
      </c>
      <c r="O100">
        <v>4550</v>
      </c>
      <c r="P100">
        <v>2437</v>
      </c>
      <c r="Q100">
        <v>2113</v>
      </c>
      <c r="R100">
        <v>38</v>
      </c>
      <c r="S100">
        <v>14</v>
      </c>
      <c r="T100">
        <v>24</v>
      </c>
      <c r="U100">
        <v>281</v>
      </c>
      <c r="V100">
        <v>153</v>
      </c>
      <c r="W100">
        <v>128</v>
      </c>
    </row>
    <row r="101" spans="1:23" hidden="1" x14ac:dyDescent="0.25">
      <c r="A101">
        <v>21</v>
      </c>
      <c r="B101" t="s">
        <v>21</v>
      </c>
      <c r="C101">
        <v>2026</v>
      </c>
      <c r="D101" t="s">
        <v>217</v>
      </c>
      <c r="E101">
        <v>23533</v>
      </c>
      <c r="G101">
        <v>12487</v>
      </c>
      <c r="H101">
        <v>11046</v>
      </c>
      <c r="I101">
        <v>10073</v>
      </c>
      <c r="J101">
        <v>5249</v>
      </c>
      <c r="K101">
        <v>4824</v>
      </c>
      <c r="L101">
        <v>2020</v>
      </c>
      <c r="M101">
        <v>1099</v>
      </c>
      <c r="N101">
        <v>921</v>
      </c>
      <c r="O101">
        <v>10815</v>
      </c>
      <c r="P101">
        <v>5786</v>
      </c>
      <c r="Q101">
        <v>5029</v>
      </c>
      <c r="R101">
        <v>111</v>
      </c>
      <c r="S101">
        <v>62</v>
      </c>
      <c r="T101">
        <v>49</v>
      </c>
      <c r="U101">
        <v>514</v>
      </c>
      <c r="V101">
        <v>291</v>
      </c>
      <c r="W101">
        <v>223</v>
      </c>
    </row>
    <row r="102" spans="1:23" hidden="1" x14ac:dyDescent="0.25">
      <c r="A102">
        <v>21</v>
      </c>
      <c r="B102" t="s">
        <v>21</v>
      </c>
      <c r="C102">
        <v>2026</v>
      </c>
      <c r="D102" t="s">
        <v>218</v>
      </c>
      <c r="E102">
        <v>21390</v>
      </c>
      <c r="G102">
        <v>10711</v>
      </c>
      <c r="H102">
        <v>10679</v>
      </c>
      <c r="I102">
        <v>11462</v>
      </c>
      <c r="J102">
        <v>5500</v>
      </c>
      <c r="K102">
        <v>5962</v>
      </c>
      <c r="L102">
        <v>1367</v>
      </c>
      <c r="M102">
        <v>747</v>
      </c>
      <c r="N102">
        <v>620</v>
      </c>
      <c r="O102">
        <v>8108</v>
      </c>
      <c r="P102">
        <v>4252</v>
      </c>
      <c r="Q102">
        <v>3856</v>
      </c>
      <c r="R102">
        <v>158</v>
      </c>
      <c r="S102">
        <v>72</v>
      </c>
      <c r="T102">
        <v>86</v>
      </c>
      <c r="U102">
        <v>295</v>
      </c>
      <c r="V102">
        <v>140</v>
      </c>
      <c r="W102">
        <v>155</v>
      </c>
    </row>
    <row r="103" spans="1:23" hidden="1" x14ac:dyDescent="0.25">
      <c r="A103">
        <v>21</v>
      </c>
      <c r="B103" t="s">
        <v>21</v>
      </c>
      <c r="C103">
        <v>2026</v>
      </c>
      <c r="D103" t="s">
        <v>219</v>
      </c>
      <c r="E103">
        <v>18285</v>
      </c>
      <c r="G103">
        <v>8470</v>
      </c>
      <c r="H103">
        <v>9815</v>
      </c>
      <c r="I103">
        <v>13643</v>
      </c>
      <c r="J103">
        <v>6198</v>
      </c>
      <c r="K103">
        <v>7445</v>
      </c>
      <c r="L103">
        <v>977</v>
      </c>
      <c r="M103">
        <v>510</v>
      </c>
      <c r="N103">
        <v>467</v>
      </c>
      <c r="O103">
        <v>3235</v>
      </c>
      <c r="P103">
        <v>1581</v>
      </c>
      <c r="Q103">
        <v>1654</v>
      </c>
      <c r="R103">
        <v>128</v>
      </c>
      <c r="S103">
        <v>52</v>
      </c>
      <c r="T103">
        <v>76</v>
      </c>
      <c r="U103">
        <v>302</v>
      </c>
      <c r="V103">
        <v>129</v>
      </c>
      <c r="W103">
        <v>173</v>
      </c>
    </row>
    <row r="104" spans="1:23" x14ac:dyDescent="0.25">
      <c r="A104">
        <v>21</v>
      </c>
      <c r="B104" t="s">
        <v>21</v>
      </c>
      <c r="C104">
        <v>2027</v>
      </c>
      <c r="D104" t="s">
        <v>214</v>
      </c>
      <c r="E104">
        <v>95168</v>
      </c>
      <c r="F104" s="244">
        <f>(E104-E98)/E98</f>
        <v>1.4281451165963252E-2</v>
      </c>
      <c r="G104">
        <v>48025</v>
      </c>
      <c r="H104">
        <v>47143</v>
      </c>
      <c r="I104">
        <v>45671</v>
      </c>
      <c r="J104">
        <v>22332</v>
      </c>
      <c r="K104">
        <v>23339</v>
      </c>
      <c r="L104">
        <v>6592</v>
      </c>
      <c r="M104">
        <v>3468</v>
      </c>
      <c r="N104">
        <v>3124</v>
      </c>
      <c r="O104">
        <v>40316</v>
      </c>
      <c r="P104">
        <v>20923</v>
      </c>
      <c r="Q104">
        <v>19393</v>
      </c>
      <c r="R104">
        <v>547</v>
      </c>
      <c r="S104">
        <v>264</v>
      </c>
      <c r="T104">
        <v>283</v>
      </c>
      <c r="U104">
        <v>2042</v>
      </c>
      <c r="V104">
        <v>1038</v>
      </c>
      <c r="W104">
        <v>1004</v>
      </c>
    </row>
    <row r="105" spans="1:23" hidden="1" x14ac:dyDescent="0.25">
      <c r="A105">
        <v>21</v>
      </c>
      <c r="B105" t="s">
        <v>21</v>
      </c>
      <c r="C105">
        <v>2027</v>
      </c>
      <c r="D105" t="s">
        <v>215</v>
      </c>
      <c r="E105">
        <v>22505</v>
      </c>
      <c r="G105">
        <v>11438</v>
      </c>
      <c r="H105">
        <v>11067</v>
      </c>
      <c r="I105">
        <v>7351</v>
      </c>
      <c r="J105">
        <v>3742</v>
      </c>
      <c r="K105">
        <v>3609</v>
      </c>
      <c r="L105">
        <v>1700</v>
      </c>
      <c r="M105">
        <v>867</v>
      </c>
      <c r="N105">
        <v>833</v>
      </c>
      <c r="O105">
        <v>12729</v>
      </c>
      <c r="P105">
        <v>6456</v>
      </c>
      <c r="Q105">
        <v>6273</v>
      </c>
      <c r="R105">
        <v>113</v>
      </c>
      <c r="S105">
        <v>64</v>
      </c>
      <c r="T105">
        <v>49</v>
      </c>
      <c r="U105">
        <v>612</v>
      </c>
      <c r="V105">
        <v>309</v>
      </c>
      <c r="W105">
        <v>303</v>
      </c>
    </row>
    <row r="106" spans="1:23" hidden="1" x14ac:dyDescent="0.25">
      <c r="A106">
        <v>21</v>
      </c>
      <c r="B106" t="s">
        <v>21</v>
      </c>
      <c r="C106">
        <v>2027</v>
      </c>
      <c r="D106" t="s">
        <v>216</v>
      </c>
      <c r="E106">
        <v>8486</v>
      </c>
      <c r="G106">
        <v>4446</v>
      </c>
      <c r="H106">
        <v>4040</v>
      </c>
      <c r="I106">
        <v>2995</v>
      </c>
      <c r="J106">
        <v>1577</v>
      </c>
      <c r="K106">
        <v>1418</v>
      </c>
      <c r="L106">
        <v>502</v>
      </c>
      <c r="M106">
        <v>238</v>
      </c>
      <c r="N106">
        <v>264</v>
      </c>
      <c r="O106">
        <v>4671</v>
      </c>
      <c r="P106">
        <v>2467</v>
      </c>
      <c r="Q106">
        <v>2204</v>
      </c>
      <c r="R106">
        <v>30</v>
      </c>
      <c r="S106">
        <v>13</v>
      </c>
      <c r="T106">
        <v>17</v>
      </c>
      <c r="U106">
        <v>288</v>
      </c>
      <c r="V106">
        <v>151</v>
      </c>
      <c r="W106">
        <v>137</v>
      </c>
    </row>
    <row r="107" spans="1:23" hidden="1" x14ac:dyDescent="0.25">
      <c r="A107">
        <v>21</v>
      </c>
      <c r="B107" t="s">
        <v>21</v>
      </c>
      <c r="C107">
        <v>2027</v>
      </c>
      <c r="D107" t="s">
        <v>217</v>
      </c>
      <c r="E107">
        <v>24043</v>
      </c>
      <c r="G107">
        <v>12785</v>
      </c>
      <c r="H107">
        <v>11258</v>
      </c>
      <c r="I107">
        <v>10197</v>
      </c>
      <c r="J107">
        <v>5354</v>
      </c>
      <c r="K107">
        <v>4843</v>
      </c>
      <c r="L107">
        <v>2060</v>
      </c>
      <c r="M107">
        <v>1107</v>
      </c>
      <c r="N107">
        <v>953</v>
      </c>
      <c r="O107">
        <v>11131</v>
      </c>
      <c r="P107">
        <v>5954</v>
      </c>
      <c r="Q107">
        <v>5177</v>
      </c>
      <c r="R107">
        <v>111</v>
      </c>
      <c r="S107">
        <v>60</v>
      </c>
      <c r="T107">
        <v>51</v>
      </c>
      <c r="U107">
        <v>544</v>
      </c>
      <c r="V107">
        <v>310</v>
      </c>
      <c r="W107">
        <v>234</v>
      </c>
    </row>
    <row r="108" spans="1:23" hidden="1" x14ac:dyDescent="0.25">
      <c r="A108">
        <v>21</v>
      </c>
      <c r="B108" t="s">
        <v>21</v>
      </c>
      <c r="C108">
        <v>2027</v>
      </c>
      <c r="D108" t="s">
        <v>218</v>
      </c>
      <c r="E108">
        <v>21299</v>
      </c>
      <c r="G108">
        <v>10633</v>
      </c>
      <c r="H108">
        <v>10666</v>
      </c>
      <c r="I108">
        <v>11204</v>
      </c>
      <c r="J108">
        <v>5351</v>
      </c>
      <c r="K108">
        <v>5853</v>
      </c>
      <c r="L108">
        <v>1339</v>
      </c>
      <c r="M108">
        <v>734</v>
      </c>
      <c r="N108">
        <v>605</v>
      </c>
      <c r="O108">
        <v>8317</v>
      </c>
      <c r="P108">
        <v>4341</v>
      </c>
      <c r="Q108">
        <v>3976</v>
      </c>
      <c r="R108">
        <v>156</v>
      </c>
      <c r="S108">
        <v>71</v>
      </c>
      <c r="T108">
        <v>85</v>
      </c>
      <c r="U108">
        <v>283</v>
      </c>
      <c r="V108">
        <v>136</v>
      </c>
      <c r="W108">
        <v>147</v>
      </c>
    </row>
    <row r="109" spans="1:23" hidden="1" x14ac:dyDescent="0.25">
      <c r="A109">
        <v>21</v>
      </c>
      <c r="B109" t="s">
        <v>21</v>
      </c>
      <c r="C109">
        <v>2027</v>
      </c>
      <c r="D109" t="s">
        <v>219</v>
      </c>
      <c r="E109">
        <v>18835</v>
      </c>
      <c r="G109">
        <v>8723</v>
      </c>
      <c r="H109">
        <v>10112</v>
      </c>
      <c r="I109">
        <v>13924</v>
      </c>
      <c r="J109">
        <v>6308</v>
      </c>
      <c r="K109">
        <v>7616</v>
      </c>
      <c r="L109">
        <v>991</v>
      </c>
      <c r="M109">
        <v>522</v>
      </c>
      <c r="N109">
        <v>469</v>
      </c>
      <c r="O109">
        <v>3468</v>
      </c>
      <c r="P109">
        <v>1705</v>
      </c>
      <c r="Q109">
        <v>1763</v>
      </c>
      <c r="R109">
        <v>137</v>
      </c>
      <c r="S109">
        <v>56</v>
      </c>
      <c r="T109">
        <v>81</v>
      </c>
      <c r="U109">
        <v>315</v>
      </c>
      <c r="V109">
        <v>132</v>
      </c>
      <c r="W109">
        <v>183</v>
      </c>
    </row>
    <row r="110" spans="1:23" x14ac:dyDescent="0.25">
      <c r="A110">
        <v>21</v>
      </c>
      <c r="B110" t="s">
        <v>21</v>
      </c>
      <c r="C110">
        <v>2028</v>
      </c>
      <c r="D110" t="s">
        <v>214</v>
      </c>
      <c r="E110">
        <v>96532</v>
      </c>
      <c r="F110" s="244">
        <f>(E110-E104)/E104</f>
        <v>1.4332548755884331E-2</v>
      </c>
      <c r="G110">
        <v>48666</v>
      </c>
      <c r="H110">
        <v>47866</v>
      </c>
      <c r="I110">
        <v>45774</v>
      </c>
      <c r="J110">
        <v>22359</v>
      </c>
      <c r="K110">
        <v>23415</v>
      </c>
      <c r="L110">
        <v>6672</v>
      </c>
      <c r="M110">
        <v>3494</v>
      </c>
      <c r="N110">
        <v>3178</v>
      </c>
      <c r="O110">
        <v>41464</v>
      </c>
      <c r="P110">
        <v>21492</v>
      </c>
      <c r="Q110">
        <v>19972</v>
      </c>
      <c r="R110">
        <v>550</v>
      </c>
      <c r="S110">
        <v>267</v>
      </c>
      <c r="T110">
        <v>283</v>
      </c>
      <c r="U110">
        <v>2072</v>
      </c>
      <c r="V110">
        <v>1054</v>
      </c>
      <c r="W110">
        <v>1018</v>
      </c>
    </row>
    <row r="111" spans="1:23" hidden="1" x14ac:dyDescent="0.25">
      <c r="A111">
        <v>21</v>
      </c>
      <c r="B111" t="s">
        <v>21</v>
      </c>
      <c r="C111">
        <v>2028</v>
      </c>
      <c r="D111" t="s">
        <v>215</v>
      </c>
      <c r="E111">
        <v>22936</v>
      </c>
      <c r="G111">
        <v>11637</v>
      </c>
      <c r="H111">
        <v>11299</v>
      </c>
      <c r="I111">
        <v>7463</v>
      </c>
      <c r="J111">
        <v>3786</v>
      </c>
      <c r="K111">
        <v>3677</v>
      </c>
      <c r="L111">
        <v>1741</v>
      </c>
      <c r="M111">
        <v>877</v>
      </c>
      <c r="N111">
        <v>864</v>
      </c>
      <c r="O111">
        <v>12994</v>
      </c>
      <c r="P111">
        <v>6591</v>
      </c>
      <c r="Q111">
        <v>6403</v>
      </c>
      <c r="R111">
        <v>113</v>
      </c>
      <c r="S111">
        <v>66</v>
      </c>
      <c r="T111">
        <v>47</v>
      </c>
      <c r="U111">
        <v>625</v>
      </c>
      <c r="V111">
        <v>317</v>
      </c>
      <c r="W111">
        <v>308</v>
      </c>
    </row>
    <row r="112" spans="1:23" hidden="1" x14ac:dyDescent="0.25">
      <c r="A112">
        <v>21</v>
      </c>
      <c r="B112" t="s">
        <v>21</v>
      </c>
      <c r="C112">
        <v>2028</v>
      </c>
      <c r="D112" t="s">
        <v>216</v>
      </c>
      <c r="E112">
        <v>8478</v>
      </c>
      <c r="G112">
        <v>4458</v>
      </c>
      <c r="H112">
        <v>4020</v>
      </c>
      <c r="I112">
        <v>2877</v>
      </c>
      <c r="J112">
        <v>1523</v>
      </c>
      <c r="K112">
        <v>1354</v>
      </c>
      <c r="L112">
        <v>513</v>
      </c>
      <c r="M112">
        <v>257</v>
      </c>
      <c r="N112">
        <v>256</v>
      </c>
      <c r="O112">
        <v>4785</v>
      </c>
      <c r="P112">
        <v>2520</v>
      </c>
      <c r="Q112">
        <v>2265</v>
      </c>
      <c r="R112">
        <v>29</v>
      </c>
      <c r="S112">
        <v>13</v>
      </c>
      <c r="T112">
        <v>16</v>
      </c>
      <c r="U112">
        <v>274</v>
      </c>
      <c r="V112">
        <v>145</v>
      </c>
      <c r="W112">
        <v>129</v>
      </c>
    </row>
    <row r="113" spans="1:23" hidden="1" x14ac:dyDescent="0.25">
      <c r="A113">
        <v>21</v>
      </c>
      <c r="B113" t="s">
        <v>21</v>
      </c>
      <c r="C113">
        <v>2028</v>
      </c>
      <c r="D113" t="s">
        <v>217</v>
      </c>
      <c r="E113">
        <v>24637</v>
      </c>
      <c r="G113">
        <v>13072</v>
      </c>
      <c r="H113">
        <v>11565</v>
      </c>
      <c r="I113">
        <v>10353</v>
      </c>
      <c r="J113">
        <v>5435</v>
      </c>
      <c r="K113">
        <v>4918</v>
      </c>
      <c r="L113">
        <v>2109</v>
      </c>
      <c r="M113">
        <v>1111</v>
      </c>
      <c r="N113">
        <v>998</v>
      </c>
      <c r="O113">
        <v>11492</v>
      </c>
      <c r="P113">
        <v>6146</v>
      </c>
      <c r="Q113">
        <v>5346</v>
      </c>
      <c r="R113">
        <v>112</v>
      </c>
      <c r="S113">
        <v>59</v>
      </c>
      <c r="T113">
        <v>53</v>
      </c>
      <c r="U113">
        <v>571</v>
      </c>
      <c r="V113">
        <v>321</v>
      </c>
      <c r="W113">
        <v>250</v>
      </c>
    </row>
    <row r="114" spans="1:23" hidden="1" x14ac:dyDescent="0.25">
      <c r="A114">
        <v>21</v>
      </c>
      <c r="B114" t="s">
        <v>21</v>
      </c>
      <c r="C114">
        <v>2028</v>
      </c>
      <c r="D114" t="s">
        <v>218</v>
      </c>
      <c r="E114">
        <v>21077</v>
      </c>
      <c r="G114">
        <v>10503</v>
      </c>
      <c r="H114">
        <v>10574</v>
      </c>
      <c r="I114">
        <v>10853</v>
      </c>
      <c r="J114">
        <v>5189</v>
      </c>
      <c r="K114">
        <v>5664</v>
      </c>
      <c r="L114">
        <v>1297</v>
      </c>
      <c r="M114">
        <v>708</v>
      </c>
      <c r="N114">
        <v>589</v>
      </c>
      <c r="O114">
        <v>8496</v>
      </c>
      <c r="P114">
        <v>4405</v>
      </c>
      <c r="Q114">
        <v>4091</v>
      </c>
      <c r="R114">
        <v>154</v>
      </c>
      <c r="S114">
        <v>68</v>
      </c>
      <c r="T114">
        <v>86</v>
      </c>
      <c r="U114">
        <v>277</v>
      </c>
      <c r="V114">
        <v>133</v>
      </c>
      <c r="W114">
        <v>144</v>
      </c>
    </row>
    <row r="115" spans="1:23" hidden="1" x14ac:dyDescent="0.25">
      <c r="A115">
        <v>21</v>
      </c>
      <c r="B115" t="s">
        <v>21</v>
      </c>
      <c r="C115">
        <v>2028</v>
      </c>
      <c r="D115" t="s">
        <v>219</v>
      </c>
      <c r="E115">
        <v>19404</v>
      </c>
      <c r="G115">
        <v>8996</v>
      </c>
      <c r="H115">
        <v>10408</v>
      </c>
      <c r="I115">
        <v>14228</v>
      </c>
      <c r="J115">
        <v>6426</v>
      </c>
      <c r="K115">
        <v>7802</v>
      </c>
      <c r="L115">
        <v>1012</v>
      </c>
      <c r="M115">
        <v>541</v>
      </c>
      <c r="N115">
        <v>471</v>
      </c>
      <c r="O115">
        <v>3697</v>
      </c>
      <c r="P115">
        <v>1830</v>
      </c>
      <c r="Q115">
        <v>1867</v>
      </c>
      <c r="R115">
        <v>142</v>
      </c>
      <c r="S115">
        <v>61</v>
      </c>
      <c r="T115">
        <v>81</v>
      </c>
      <c r="U115">
        <v>325</v>
      </c>
      <c r="V115">
        <v>138</v>
      </c>
      <c r="W115">
        <v>187</v>
      </c>
    </row>
    <row r="116" spans="1:23" x14ac:dyDescent="0.25">
      <c r="A116">
        <v>21</v>
      </c>
      <c r="B116" t="s">
        <v>21</v>
      </c>
      <c r="C116">
        <v>2029</v>
      </c>
      <c r="D116" t="s">
        <v>214</v>
      </c>
      <c r="E116">
        <v>97872</v>
      </c>
      <c r="F116" s="244">
        <f>(E116-E110)/E110</f>
        <v>1.3881407201756931E-2</v>
      </c>
      <c r="G116">
        <v>49297</v>
      </c>
      <c r="H116">
        <v>48575</v>
      </c>
      <c r="I116">
        <v>45847</v>
      </c>
      <c r="J116">
        <v>22372</v>
      </c>
      <c r="K116">
        <v>23475</v>
      </c>
      <c r="L116">
        <v>6742</v>
      </c>
      <c r="M116">
        <v>3514</v>
      </c>
      <c r="N116">
        <v>3228</v>
      </c>
      <c r="O116">
        <v>42625</v>
      </c>
      <c r="P116">
        <v>22070</v>
      </c>
      <c r="Q116">
        <v>20555</v>
      </c>
      <c r="R116">
        <v>555</v>
      </c>
      <c r="S116">
        <v>271</v>
      </c>
      <c r="T116">
        <v>284</v>
      </c>
      <c r="U116">
        <v>2103</v>
      </c>
      <c r="V116">
        <v>1070</v>
      </c>
      <c r="W116">
        <v>1033</v>
      </c>
    </row>
    <row r="117" spans="1:23" hidden="1" x14ac:dyDescent="0.25">
      <c r="A117">
        <v>21</v>
      </c>
      <c r="B117" t="s">
        <v>21</v>
      </c>
      <c r="C117">
        <v>2029</v>
      </c>
      <c r="D117" t="s">
        <v>215</v>
      </c>
      <c r="E117">
        <v>23435</v>
      </c>
      <c r="G117">
        <v>11884</v>
      </c>
      <c r="H117">
        <v>11551</v>
      </c>
      <c r="I117">
        <v>7529</v>
      </c>
      <c r="J117">
        <v>3815</v>
      </c>
      <c r="K117">
        <v>3714</v>
      </c>
      <c r="L117">
        <v>1793</v>
      </c>
      <c r="M117">
        <v>902</v>
      </c>
      <c r="N117">
        <v>891</v>
      </c>
      <c r="O117">
        <v>13360</v>
      </c>
      <c r="P117">
        <v>6778</v>
      </c>
      <c r="Q117">
        <v>6582</v>
      </c>
      <c r="R117">
        <v>110</v>
      </c>
      <c r="S117">
        <v>64</v>
      </c>
      <c r="T117">
        <v>46</v>
      </c>
      <c r="U117">
        <v>643</v>
      </c>
      <c r="V117">
        <v>325</v>
      </c>
      <c r="W117">
        <v>318</v>
      </c>
    </row>
    <row r="118" spans="1:23" hidden="1" x14ac:dyDescent="0.25">
      <c r="A118">
        <v>21</v>
      </c>
      <c r="B118" t="s">
        <v>21</v>
      </c>
      <c r="C118">
        <v>2029</v>
      </c>
      <c r="D118" t="s">
        <v>216</v>
      </c>
      <c r="E118">
        <v>8417</v>
      </c>
      <c r="G118">
        <v>4450</v>
      </c>
      <c r="H118">
        <v>3967</v>
      </c>
      <c r="I118">
        <v>2831</v>
      </c>
      <c r="J118">
        <v>1499</v>
      </c>
      <c r="K118">
        <v>1332</v>
      </c>
      <c r="L118">
        <v>504</v>
      </c>
      <c r="M118">
        <v>259</v>
      </c>
      <c r="N118">
        <v>245</v>
      </c>
      <c r="O118">
        <v>4786</v>
      </c>
      <c r="P118">
        <v>2537</v>
      </c>
      <c r="Q118">
        <v>2249</v>
      </c>
      <c r="R118">
        <v>34</v>
      </c>
      <c r="S118">
        <v>16</v>
      </c>
      <c r="T118">
        <v>18</v>
      </c>
      <c r="U118">
        <v>262</v>
      </c>
      <c r="V118">
        <v>139</v>
      </c>
      <c r="W118">
        <v>123</v>
      </c>
    </row>
    <row r="119" spans="1:23" hidden="1" x14ac:dyDescent="0.25">
      <c r="A119">
        <v>21</v>
      </c>
      <c r="B119" t="s">
        <v>21</v>
      </c>
      <c r="C119">
        <v>2029</v>
      </c>
      <c r="D119" t="s">
        <v>217</v>
      </c>
      <c r="E119">
        <v>25215</v>
      </c>
      <c r="G119">
        <v>13336</v>
      </c>
      <c r="H119">
        <v>11879</v>
      </c>
      <c r="I119">
        <v>10492</v>
      </c>
      <c r="J119">
        <v>5506</v>
      </c>
      <c r="K119">
        <v>4986</v>
      </c>
      <c r="L119">
        <v>2144</v>
      </c>
      <c r="M119">
        <v>1111</v>
      </c>
      <c r="N119">
        <v>1033</v>
      </c>
      <c r="O119">
        <v>11865</v>
      </c>
      <c r="P119">
        <v>6322</v>
      </c>
      <c r="Q119">
        <v>5543</v>
      </c>
      <c r="R119">
        <v>112</v>
      </c>
      <c r="S119">
        <v>59</v>
      </c>
      <c r="T119">
        <v>53</v>
      </c>
      <c r="U119">
        <v>602</v>
      </c>
      <c r="V119">
        <v>338</v>
      </c>
      <c r="W119">
        <v>264</v>
      </c>
    </row>
    <row r="120" spans="1:23" hidden="1" x14ac:dyDescent="0.25">
      <c r="A120">
        <v>21</v>
      </c>
      <c r="B120" t="s">
        <v>21</v>
      </c>
      <c r="C120">
        <v>2029</v>
      </c>
      <c r="D120" t="s">
        <v>218</v>
      </c>
      <c r="E120">
        <v>20912</v>
      </c>
      <c r="G120">
        <v>10425</v>
      </c>
      <c r="H120">
        <v>10487</v>
      </c>
      <c r="I120">
        <v>10523</v>
      </c>
      <c r="J120">
        <v>5019</v>
      </c>
      <c r="K120">
        <v>5504</v>
      </c>
      <c r="L120">
        <v>1262</v>
      </c>
      <c r="M120">
        <v>699</v>
      </c>
      <c r="N120">
        <v>563</v>
      </c>
      <c r="O120">
        <v>8713</v>
      </c>
      <c r="P120">
        <v>4514</v>
      </c>
      <c r="Q120">
        <v>4199</v>
      </c>
      <c r="R120">
        <v>147</v>
      </c>
      <c r="S120">
        <v>64</v>
      </c>
      <c r="T120">
        <v>83</v>
      </c>
      <c r="U120">
        <v>267</v>
      </c>
      <c r="V120">
        <v>129</v>
      </c>
      <c r="W120">
        <v>138</v>
      </c>
    </row>
    <row r="121" spans="1:23" hidden="1" x14ac:dyDescent="0.25">
      <c r="A121">
        <v>21</v>
      </c>
      <c r="B121" t="s">
        <v>21</v>
      </c>
      <c r="C121">
        <v>2029</v>
      </c>
      <c r="D121" t="s">
        <v>219</v>
      </c>
      <c r="E121">
        <v>19893</v>
      </c>
      <c r="G121">
        <v>9202</v>
      </c>
      <c r="H121">
        <v>10691</v>
      </c>
      <c r="I121">
        <v>14472</v>
      </c>
      <c r="J121">
        <v>6533</v>
      </c>
      <c r="K121">
        <v>7939</v>
      </c>
      <c r="L121">
        <v>1039</v>
      </c>
      <c r="M121">
        <v>543</v>
      </c>
      <c r="N121">
        <v>496</v>
      </c>
      <c r="O121">
        <v>3901</v>
      </c>
      <c r="P121">
        <v>1919</v>
      </c>
      <c r="Q121">
        <v>1982</v>
      </c>
      <c r="R121">
        <v>152</v>
      </c>
      <c r="S121">
        <v>68</v>
      </c>
      <c r="T121">
        <v>84</v>
      </c>
      <c r="U121">
        <v>329</v>
      </c>
      <c r="V121">
        <v>139</v>
      </c>
      <c r="W121">
        <v>190</v>
      </c>
    </row>
    <row r="122" spans="1:23" x14ac:dyDescent="0.25">
      <c r="A122">
        <v>21</v>
      </c>
      <c r="B122" t="s">
        <v>21</v>
      </c>
      <c r="C122">
        <v>2030</v>
      </c>
      <c r="D122" t="s">
        <v>214</v>
      </c>
      <c r="E122">
        <v>99211</v>
      </c>
      <c r="F122" s="244">
        <f>(E122-E116)/E116</f>
        <v>1.3681134543076671E-2</v>
      </c>
      <c r="G122">
        <v>49913</v>
      </c>
      <c r="H122">
        <v>49298</v>
      </c>
      <c r="I122">
        <v>45892</v>
      </c>
      <c r="J122">
        <v>22374</v>
      </c>
      <c r="K122">
        <v>23518</v>
      </c>
      <c r="L122">
        <v>6819</v>
      </c>
      <c r="M122">
        <v>3539</v>
      </c>
      <c r="N122">
        <v>3280</v>
      </c>
      <c r="O122">
        <v>43813</v>
      </c>
      <c r="P122">
        <v>22648</v>
      </c>
      <c r="Q122">
        <v>21165</v>
      </c>
      <c r="R122">
        <v>555</v>
      </c>
      <c r="S122">
        <v>273</v>
      </c>
      <c r="T122">
        <v>282</v>
      </c>
      <c r="U122">
        <v>2132</v>
      </c>
      <c r="V122">
        <v>1079</v>
      </c>
      <c r="W122">
        <v>1053</v>
      </c>
    </row>
    <row r="123" spans="1:23" hidden="1" x14ac:dyDescent="0.25">
      <c r="A123">
        <v>21</v>
      </c>
      <c r="B123" t="s">
        <v>21</v>
      </c>
      <c r="C123">
        <v>2030</v>
      </c>
      <c r="D123" t="s">
        <v>215</v>
      </c>
      <c r="E123">
        <v>23947</v>
      </c>
      <c r="G123">
        <v>12126</v>
      </c>
      <c r="H123">
        <v>11821</v>
      </c>
      <c r="I123">
        <v>7599</v>
      </c>
      <c r="J123">
        <v>3843</v>
      </c>
      <c r="K123">
        <v>3756</v>
      </c>
      <c r="L123">
        <v>1842</v>
      </c>
      <c r="M123">
        <v>923</v>
      </c>
      <c r="N123">
        <v>919</v>
      </c>
      <c r="O123">
        <v>13737</v>
      </c>
      <c r="P123">
        <v>6963</v>
      </c>
      <c r="Q123">
        <v>6774</v>
      </c>
      <c r="R123">
        <v>109</v>
      </c>
      <c r="S123">
        <v>64</v>
      </c>
      <c r="T123">
        <v>45</v>
      </c>
      <c r="U123">
        <v>660</v>
      </c>
      <c r="V123">
        <v>333</v>
      </c>
      <c r="W123">
        <v>327</v>
      </c>
    </row>
    <row r="124" spans="1:23" hidden="1" x14ac:dyDescent="0.25">
      <c r="A124">
        <v>21</v>
      </c>
      <c r="B124" t="s">
        <v>21</v>
      </c>
      <c r="C124">
        <v>2030</v>
      </c>
      <c r="D124" t="s">
        <v>216</v>
      </c>
      <c r="E124">
        <v>8335</v>
      </c>
      <c r="G124">
        <v>4363</v>
      </c>
      <c r="H124">
        <v>3972</v>
      </c>
      <c r="I124">
        <v>2736</v>
      </c>
      <c r="J124">
        <v>1438</v>
      </c>
      <c r="K124">
        <v>1298</v>
      </c>
      <c r="L124">
        <v>523</v>
      </c>
      <c r="M124">
        <v>264</v>
      </c>
      <c r="N124">
        <v>259</v>
      </c>
      <c r="O124">
        <v>4781</v>
      </c>
      <c r="P124">
        <v>2505</v>
      </c>
      <c r="Q124">
        <v>2276</v>
      </c>
      <c r="R124">
        <v>36</v>
      </c>
      <c r="S124">
        <v>18</v>
      </c>
      <c r="T124">
        <v>18</v>
      </c>
      <c r="U124">
        <v>259</v>
      </c>
      <c r="V124">
        <v>138</v>
      </c>
      <c r="W124">
        <v>121</v>
      </c>
    </row>
    <row r="125" spans="1:23" hidden="1" x14ac:dyDescent="0.25">
      <c r="A125">
        <v>21</v>
      </c>
      <c r="B125" t="s">
        <v>21</v>
      </c>
      <c r="C125">
        <v>2030</v>
      </c>
      <c r="D125" t="s">
        <v>217</v>
      </c>
      <c r="E125">
        <v>25887</v>
      </c>
      <c r="G125">
        <v>13709</v>
      </c>
      <c r="H125">
        <v>12178</v>
      </c>
      <c r="I125">
        <v>10686</v>
      </c>
      <c r="J125">
        <v>5644</v>
      </c>
      <c r="K125">
        <v>5042</v>
      </c>
      <c r="L125">
        <v>2165</v>
      </c>
      <c r="M125">
        <v>1112</v>
      </c>
      <c r="N125">
        <v>1053</v>
      </c>
      <c r="O125">
        <v>12312</v>
      </c>
      <c r="P125">
        <v>6556</v>
      </c>
      <c r="Q125">
        <v>5756</v>
      </c>
      <c r="R125">
        <v>112</v>
      </c>
      <c r="S125">
        <v>58</v>
      </c>
      <c r="T125">
        <v>54</v>
      </c>
      <c r="U125">
        <v>612</v>
      </c>
      <c r="V125">
        <v>339</v>
      </c>
      <c r="W125">
        <v>273</v>
      </c>
    </row>
    <row r="126" spans="1:23" hidden="1" x14ac:dyDescent="0.25">
      <c r="A126">
        <v>21</v>
      </c>
      <c r="B126" t="s">
        <v>21</v>
      </c>
      <c r="C126">
        <v>2030</v>
      </c>
      <c r="D126" t="s">
        <v>218</v>
      </c>
      <c r="E126">
        <v>20621</v>
      </c>
      <c r="G126">
        <v>10292</v>
      </c>
      <c r="H126">
        <v>10329</v>
      </c>
      <c r="I126">
        <v>10158</v>
      </c>
      <c r="J126">
        <v>4827</v>
      </c>
      <c r="K126">
        <v>5331</v>
      </c>
      <c r="L126">
        <v>1214</v>
      </c>
      <c r="M126">
        <v>676</v>
      </c>
      <c r="N126">
        <v>538</v>
      </c>
      <c r="O126">
        <v>8841</v>
      </c>
      <c r="P126">
        <v>4599</v>
      </c>
      <c r="Q126">
        <v>4242</v>
      </c>
      <c r="R126">
        <v>142</v>
      </c>
      <c r="S126">
        <v>61</v>
      </c>
      <c r="T126">
        <v>81</v>
      </c>
      <c r="U126">
        <v>266</v>
      </c>
      <c r="V126">
        <v>129</v>
      </c>
      <c r="W126">
        <v>137</v>
      </c>
    </row>
    <row r="127" spans="1:23" hidden="1" x14ac:dyDescent="0.25">
      <c r="A127">
        <v>21</v>
      </c>
      <c r="B127" t="s">
        <v>21</v>
      </c>
      <c r="C127">
        <v>2030</v>
      </c>
      <c r="D127" t="s">
        <v>219</v>
      </c>
      <c r="E127">
        <v>20421</v>
      </c>
      <c r="G127">
        <v>9423</v>
      </c>
      <c r="H127">
        <v>10998</v>
      </c>
      <c r="I127">
        <v>14713</v>
      </c>
      <c r="J127">
        <v>6622</v>
      </c>
      <c r="K127">
        <v>8091</v>
      </c>
      <c r="L127">
        <v>1075</v>
      </c>
      <c r="M127">
        <v>564</v>
      </c>
      <c r="N127">
        <v>511</v>
      </c>
      <c r="O127">
        <v>4142</v>
      </c>
      <c r="P127">
        <v>2025</v>
      </c>
      <c r="Q127">
        <v>2117</v>
      </c>
      <c r="R127">
        <v>156</v>
      </c>
      <c r="S127">
        <v>72</v>
      </c>
      <c r="T127">
        <v>84</v>
      </c>
      <c r="U127">
        <v>335</v>
      </c>
      <c r="V127">
        <v>140</v>
      </c>
      <c r="W127">
        <v>195</v>
      </c>
    </row>
    <row r="128" spans="1:23" x14ac:dyDescent="0.25">
      <c r="A128">
        <v>21</v>
      </c>
      <c r="B128" t="s">
        <v>21</v>
      </c>
      <c r="C128">
        <v>2031</v>
      </c>
      <c r="D128" t="s">
        <v>214</v>
      </c>
      <c r="E128">
        <v>100577</v>
      </c>
      <c r="F128" s="244">
        <f>(E128-E122)/E122</f>
        <v>1.3768634526413403E-2</v>
      </c>
      <c r="G128">
        <v>50535</v>
      </c>
      <c r="H128">
        <v>50042</v>
      </c>
      <c r="I128">
        <v>45923</v>
      </c>
      <c r="J128">
        <v>22362</v>
      </c>
      <c r="K128">
        <v>23561</v>
      </c>
      <c r="L128">
        <v>6889</v>
      </c>
      <c r="M128">
        <v>3557</v>
      </c>
      <c r="N128">
        <v>3332</v>
      </c>
      <c r="O128">
        <v>45040</v>
      </c>
      <c r="P128">
        <v>23247</v>
      </c>
      <c r="Q128">
        <v>21793</v>
      </c>
      <c r="R128">
        <v>558</v>
      </c>
      <c r="S128">
        <v>274</v>
      </c>
      <c r="T128">
        <v>284</v>
      </c>
      <c r="U128">
        <v>2167</v>
      </c>
      <c r="V128">
        <v>1095</v>
      </c>
      <c r="W128">
        <v>1072</v>
      </c>
    </row>
    <row r="129" spans="1:23" hidden="1" x14ac:dyDescent="0.25">
      <c r="A129">
        <v>21</v>
      </c>
      <c r="B129" t="s">
        <v>21</v>
      </c>
      <c r="C129">
        <v>2031</v>
      </c>
      <c r="D129" t="s">
        <v>215</v>
      </c>
      <c r="E129">
        <v>24464</v>
      </c>
      <c r="G129">
        <v>12375</v>
      </c>
      <c r="H129">
        <v>12089</v>
      </c>
      <c r="I129">
        <v>7665</v>
      </c>
      <c r="J129">
        <v>3869</v>
      </c>
      <c r="K129">
        <v>3796</v>
      </c>
      <c r="L129">
        <v>1887</v>
      </c>
      <c r="M129">
        <v>944</v>
      </c>
      <c r="N129">
        <v>943</v>
      </c>
      <c r="O129">
        <v>14123</v>
      </c>
      <c r="P129">
        <v>7155</v>
      </c>
      <c r="Q129">
        <v>6968</v>
      </c>
      <c r="R129">
        <v>110</v>
      </c>
      <c r="S129">
        <v>64</v>
      </c>
      <c r="T129">
        <v>46</v>
      </c>
      <c r="U129">
        <v>679</v>
      </c>
      <c r="V129">
        <v>343</v>
      </c>
      <c r="W129">
        <v>336</v>
      </c>
    </row>
    <row r="130" spans="1:23" hidden="1" x14ac:dyDescent="0.25">
      <c r="A130">
        <v>21</v>
      </c>
      <c r="B130" t="s">
        <v>21</v>
      </c>
      <c r="C130">
        <v>2031</v>
      </c>
      <c r="D130" t="s">
        <v>216</v>
      </c>
      <c r="E130">
        <v>8301</v>
      </c>
      <c r="G130">
        <v>4333</v>
      </c>
      <c r="H130">
        <v>3968</v>
      </c>
      <c r="I130">
        <v>2697</v>
      </c>
      <c r="J130">
        <v>1416</v>
      </c>
      <c r="K130">
        <v>1281</v>
      </c>
      <c r="L130">
        <v>529</v>
      </c>
      <c r="M130">
        <v>266</v>
      </c>
      <c r="N130">
        <v>263</v>
      </c>
      <c r="O130">
        <v>4797</v>
      </c>
      <c r="P130">
        <v>2502</v>
      </c>
      <c r="Q130">
        <v>2295</v>
      </c>
      <c r="R130">
        <v>41</v>
      </c>
      <c r="S130">
        <v>20</v>
      </c>
      <c r="T130">
        <v>21</v>
      </c>
      <c r="U130">
        <v>237</v>
      </c>
      <c r="V130">
        <v>129</v>
      </c>
      <c r="W130">
        <v>108</v>
      </c>
    </row>
    <row r="131" spans="1:23" hidden="1" x14ac:dyDescent="0.25">
      <c r="A131">
        <v>21</v>
      </c>
      <c r="B131" t="s">
        <v>21</v>
      </c>
      <c r="C131">
        <v>2031</v>
      </c>
      <c r="D131" t="s">
        <v>217</v>
      </c>
      <c r="E131">
        <v>26380</v>
      </c>
      <c r="G131">
        <v>13928</v>
      </c>
      <c r="H131">
        <v>12452</v>
      </c>
      <c r="I131">
        <v>10752</v>
      </c>
      <c r="J131">
        <v>5671</v>
      </c>
      <c r="K131">
        <v>5081</v>
      </c>
      <c r="L131">
        <v>2189</v>
      </c>
      <c r="M131">
        <v>1104</v>
      </c>
      <c r="N131">
        <v>1085</v>
      </c>
      <c r="O131">
        <v>12673</v>
      </c>
      <c r="P131">
        <v>6735</v>
      </c>
      <c r="Q131">
        <v>5938</v>
      </c>
      <c r="R131">
        <v>110</v>
      </c>
      <c r="S131">
        <v>58</v>
      </c>
      <c r="T131">
        <v>52</v>
      </c>
      <c r="U131">
        <v>656</v>
      </c>
      <c r="V131">
        <v>360</v>
      </c>
      <c r="W131">
        <v>296</v>
      </c>
    </row>
    <row r="132" spans="1:23" hidden="1" x14ac:dyDescent="0.25">
      <c r="A132">
        <v>21</v>
      </c>
      <c r="B132" t="s">
        <v>21</v>
      </c>
      <c r="C132">
        <v>2031</v>
      </c>
      <c r="D132" t="s">
        <v>218</v>
      </c>
      <c r="E132">
        <v>20657</v>
      </c>
      <c r="G132">
        <v>10334</v>
      </c>
      <c r="H132">
        <v>10323</v>
      </c>
      <c r="I132">
        <v>10003</v>
      </c>
      <c r="J132">
        <v>4772</v>
      </c>
      <c r="K132">
        <v>5231</v>
      </c>
      <c r="L132">
        <v>1197</v>
      </c>
      <c r="M132">
        <v>674</v>
      </c>
      <c r="N132">
        <v>523</v>
      </c>
      <c r="O132">
        <v>9061</v>
      </c>
      <c r="P132">
        <v>4703</v>
      </c>
      <c r="Q132">
        <v>4358</v>
      </c>
      <c r="R132">
        <v>137</v>
      </c>
      <c r="S132">
        <v>58</v>
      </c>
      <c r="T132">
        <v>79</v>
      </c>
      <c r="U132">
        <v>259</v>
      </c>
      <c r="V132">
        <v>127</v>
      </c>
      <c r="W132">
        <v>132</v>
      </c>
    </row>
    <row r="133" spans="1:23" hidden="1" x14ac:dyDescent="0.25">
      <c r="A133">
        <v>21</v>
      </c>
      <c r="B133" t="s">
        <v>21</v>
      </c>
      <c r="C133">
        <v>2031</v>
      </c>
      <c r="D133" t="s">
        <v>219</v>
      </c>
      <c r="E133">
        <v>20775</v>
      </c>
      <c r="G133">
        <v>9565</v>
      </c>
      <c r="H133">
        <v>11210</v>
      </c>
      <c r="I133">
        <v>14806</v>
      </c>
      <c r="J133">
        <v>6634</v>
      </c>
      <c r="K133">
        <v>8172</v>
      </c>
      <c r="L133">
        <v>1087</v>
      </c>
      <c r="M133">
        <v>569</v>
      </c>
      <c r="N133">
        <v>518</v>
      </c>
      <c r="O133">
        <v>4386</v>
      </c>
      <c r="P133">
        <v>2152</v>
      </c>
      <c r="Q133">
        <v>2234</v>
      </c>
      <c r="R133">
        <v>160</v>
      </c>
      <c r="S133">
        <v>74</v>
      </c>
      <c r="T133">
        <v>86</v>
      </c>
      <c r="U133">
        <v>336</v>
      </c>
      <c r="V133">
        <v>136</v>
      </c>
      <c r="W133">
        <v>200</v>
      </c>
    </row>
    <row r="134" spans="1:23" x14ac:dyDescent="0.25">
      <c r="A134">
        <v>21</v>
      </c>
      <c r="B134" t="s">
        <v>21</v>
      </c>
      <c r="C134">
        <v>2032</v>
      </c>
      <c r="D134" t="s">
        <v>214</v>
      </c>
      <c r="E134">
        <v>101918</v>
      </c>
      <c r="F134" s="244">
        <f>(E134-E128)/E128</f>
        <v>1.333306819650616E-2</v>
      </c>
      <c r="G134">
        <v>51159</v>
      </c>
      <c r="H134">
        <v>50759</v>
      </c>
      <c r="I134">
        <v>45930</v>
      </c>
      <c r="J134">
        <v>22346</v>
      </c>
      <c r="K134">
        <v>23584</v>
      </c>
      <c r="L134">
        <v>6968</v>
      </c>
      <c r="M134">
        <v>3581</v>
      </c>
      <c r="N134">
        <v>3387</v>
      </c>
      <c r="O134">
        <v>46259</v>
      </c>
      <c r="P134">
        <v>23847</v>
      </c>
      <c r="Q134">
        <v>22412</v>
      </c>
      <c r="R134">
        <v>561</v>
      </c>
      <c r="S134">
        <v>277</v>
      </c>
      <c r="T134">
        <v>284</v>
      </c>
      <c r="U134">
        <v>2200</v>
      </c>
      <c r="V134">
        <v>1108</v>
      </c>
      <c r="W134">
        <v>1092</v>
      </c>
    </row>
    <row r="135" spans="1:23" hidden="1" x14ac:dyDescent="0.25">
      <c r="A135">
        <v>21</v>
      </c>
      <c r="B135" t="s">
        <v>21</v>
      </c>
      <c r="C135">
        <v>2032</v>
      </c>
      <c r="D135" t="s">
        <v>215</v>
      </c>
      <c r="E135">
        <v>24975</v>
      </c>
      <c r="G135">
        <v>12623</v>
      </c>
      <c r="H135">
        <v>12352</v>
      </c>
      <c r="I135">
        <v>7733</v>
      </c>
      <c r="J135">
        <v>3896</v>
      </c>
      <c r="K135">
        <v>3837</v>
      </c>
      <c r="L135">
        <v>1930</v>
      </c>
      <c r="M135">
        <v>962</v>
      </c>
      <c r="N135">
        <v>968</v>
      </c>
      <c r="O135">
        <v>14504</v>
      </c>
      <c r="P135">
        <v>7348</v>
      </c>
      <c r="Q135">
        <v>7156</v>
      </c>
      <c r="R135">
        <v>110</v>
      </c>
      <c r="S135">
        <v>64</v>
      </c>
      <c r="T135">
        <v>46</v>
      </c>
      <c r="U135">
        <v>698</v>
      </c>
      <c r="V135">
        <v>353</v>
      </c>
      <c r="W135">
        <v>345</v>
      </c>
    </row>
    <row r="136" spans="1:23" hidden="1" x14ac:dyDescent="0.25">
      <c r="A136">
        <v>21</v>
      </c>
      <c r="B136" t="s">
        <v>21</v>
      </c>
      <c r="C136">
        <v>2032</v>
      </c>
      <c r="D136" t="s">
        <v>216</v>
      </c>
      <c r="E136">
        <v>8201</v>
      </c>
      <c r="G136">
        <v>4255</v>
      </c>
      <c r="H136">
        <v>3946</v>
      </c>
      <c r="I136">
        <v>2683</v>
      </c>
      <c r="J136">
        <v>1374</v>
      </c>
      <c r="K136">
        <v>1309</v>
      </c>
      <c r="L136">
        <v>532</v>
      </c>
      <c r="M136">
        <v>272</v>
      </c>
      <c r="N136">
        <v>260</v>
      </c>
      <c r="O136">
        <v>4720</v>
      </c>
      <c r="P136">
        <v>2470</v>
      </c>
      <c r="Q136">
        <v>2250</v>
      </c>
      <c r="R136">
        <v>41</v>
      </c>
      <c r="S136">
        <v>21</v>
      </c>
      <c r="T136">
        <v>20</v>
      </c>
      <c r="U136">
        <v>225</v>
      </c>
      <c r="V136">
        <v>118</v>
      </c>
      <c r="W136">
        <v>107</v>
      </c>
    </row>
    <row r="137" spans="1:23" hidden="1" x14ac:dyDescent="0.25">
      <c r="A137">
        <v>21</v>
      </c>
      <c r="B137" t="s">
        <v>21</v>
      </c>
      <c r="C137">
        <v>2032</v>
      </c>
      <c r="D137" t="s">
        <v>217</v>
      </c>
      <c r="E137">
        <v>27028</v>
      </c>
      <c r="G137">
        <v>14222</v>
      </c>
      <c r="H137">
        <v>12806</v>
      </c>
      <c r="I137">
        <v>10830</v>
      </c>
      <c r="J137">
        <v>5733</v>
      </c>
      <c r="K137">
        <v>5097</v>
      </c>
      <c r="L137">
        <v>2218</v>
      </c>
      <c r="M137">
        <v>1108</v>
      </c>
      <c r="N137">
        <v>1110</v>
      </c>
      <c r="O137">
        <v>13196</v>
      </c>
      <c r="P137">
        <v>6948</v>
      </c>
      <c r="Q137">
        <v>6248</v>
      </c>
      <c r="R137">
        <v>113</v>
      </c>
      <c r="S137">
        <v>57</v>
      </c>
      <c r="T137">
        <v>56</v>
      </c>
      <c r="U137">
        <v>671</v>
      </c>
      <c r="V137">
        <v>376</v>
      </c>
      <c r="W137">
        <v>295</v>
      </c>
    </row>
    <row r="138" spans="1:23" hidden="1" x14ac:dyDescent="0.25">
      <c r="A138">
        <v>21</v>
      </c>
      <c r="B138" t="s">
        <v>21</v>
      </c>
      <c r="C138">
        <v>2032</v>
      </c>
      <c r="D138" t="s">
        <v>218</v>
      </c>
      <c r="E138">
        <v>20685</v>
      </c>
      <c r="G138">
        <v>10423</v>
      </c>
      <c r="H138">
        <v>10262</v>
      </c>
      <c r="I138">
        <v>9843</v>
      </c>
      <c r="J138">
        <v>4724</v>
      </c>
      <c r="K138">
        <v>5119</v>
      </c>
      <c r="L138">
        <v>1193</v>
      </c>
      <c r="M138">
        <v>666</v>
      </c>
      <c r="N138">
        <v>527</v>
      </c>
      <c r="O138">
        <v>9248</v>
      </c>
      <c r="P138">
        <v>4845</v>
      </c>
      <c r="Q138">
        <v>4403</v>
      </c>
      <c r="R138">
        <v>135</v>
      </c>
      <c r="S138">
        <v>62</v>
      </c>
      <c r="T138">
        <v>73</v>
      </c>
      <c r="U138">
        <v>266</v>
      </c>
      <c r="V138">
        <v>126</v>
      </c>
      <c r="W138">
        <v>140</v>
      </c>
    </row>
    <row r="139" spans="1:23" hidden="1" x14ac:dyDescent="0.25">
      <c r="A139">
        <v>21</v>
      </c>
      <c r="B139" t="s">
        <v>21</v>
      </c>
      <c r="C139">
        <v>2032</v>
      </c>
      <c r="D139" t="s">
        <v>219</v>
      </c>
      <c r="E139">
        <v>21029</v>
      </c>
      <c r="G139">
        <v>9636</v>
      </c>
      <c r="H139">
        <v>11393</v>
      </c>
      <c r="I139">
        <v>14841</v>
      </c>
      <c r="J139">
        <v>6619</v>
      </c>
      <c r="K139">
        <v>8222</v>
      </c>
      <c r="L139">
        <v>1095</v>
      </c>
      <c r="M139">
        <v>573</v>
      </c>
      <c r="N139">
        <v>522</v>
      </c>
      <c r="O139">
        <v>4591</v>
      </c>
      <c r="P139">
        <v>2236</v>
      </c>
      <c r="Q139">
        <v>2355</v>
      </c>
      <c r="R139">
        <v>162</v>
      </c>
      <c r="S139">
        <v>73</v>
      </c>
      <c r="T139">
        <v>89</v>
      </c>
      <c r="U139">
        <v>340</v>
      </c>
      <c r="V139">
        <v>135</v>
      </c>
      <c r="W139">
        <v>205</v>
      </c>
    </row>
    <row r="140" spans="1:23" x14ac:dyDescent="0.25">
      <c r="A140">
        <v>21</v>
      </c>
      <c r="B140" t="s">
        <v>21</v>
      </c>
      <c r="C140">
        <v>2033</v>
      </c>
      <c r="D140" t="s">
        <v>214</v>
      </c>
      <c r="E140">
        <v>103246</v>
      </c>
      <c r="F140" s="244">
        <f>(E140-E134)/E134</f>
        <v>1.3030083007908318E-2</v>
      </c>
      <c r="G140">
        <v>51787</v>
      </c>
      <c r="H140">
        <v>51459</v>
      </c>
      <c r="I140">
        <v>45913</v>
      </c>
      <c r="J140">
        <v>22321</v>
      </c>
      <c r="K140">
        <v>23592</v>
      </c>
      <c r="L140">
        <v>7043</v>
      </c>
      <c r="M140">
        <v>3607</v>
      </c>
      <c r="N140">
        <v>3436</v>
      </c>
      <c r="O140">
        <v>47495</v>
      </c>
      <c r="P140">
        <v>24458</v>
      </c>
      <c r="Q140">
        <v>23037</v>
      </c>
      <c r="R140">
        <v>565</v>
      </c>
      <c r="S140">
        <v>278</v>
      </c>
      <c r="T140">
        <v>287</v>
      </c>
      <c r="U140">
        <v>2230</v>
      </c>
      <c r="V140">
        <v>1123</v>
      </c>
      <c r="W140">
        <v>1107</v>
      </c>
    </row>
    <row r="141" spans="1:23" hidden="1" x14ac:dyDescent="0.25">
      <c r="A141">
        <v>21</v>
      </c>
      <c r="B141" t="s">
        <v>21</v>
      </c>
      <c r="C141">
        <v>2033</v>
      </c>
      <c r="D141" t="s">
        <v>215</v>
      </c>
      <c r="E141">
        <v>25467</v>
      </c>
      <c r="G141">
        <v>12867</v>
      </c>
      <c r="H141">
        <v>12600</v>
      </c>
      <c r="I141">
        <v>7789</v>
      </c>
      <c r="J141">
        <v>3917</v>
      </c>
      <c r="K141">
        <v>3872</v>
      </c>
      <c r="L141">
        <v>1964</v>
      </c>
      <c r="M141">
        <v>978</v>
      </c>
      <c r="N141">
        <v>986</v>
      </c>
      <c r="O141">
        <v>14887</v>
      </c>
      <c r="P141">
        <v>7544</v>
      </c>
      <c r="Q141">
        <v>7343</v>
      </c>
      <c r="R141">
        <v>112</v>
      </c>
      <c r="S141">
        <v>65</v>
      </c>
      <c r="T141">
        <v>47</v>
      </c>
      <c r="U141">
        <v>715</v>
      </c>
      <c r="V141">
        <v>363</v>
      </c>
      <c r="W141">
        <v>352</v>
      </c>
    </row>
    <row r="142" spans="1:23" hidden="1" x14ac:dyDescent="0.25">
      <c r="A142">
        <v>21</v>
      </c>
      <c r="B142" t="s">
        <v>21</v>
      </c>
      <c r="C142">
        <v>2033</v>
      </c>
      <c r="D142" t="s">
        <v>216</v>
      </c>
      <c r="E142">
        <v>8161</v>
      </c>
      <c r="G142">
        <v>4209</v>
      </c>
      <c r="H142">
        <v>3952</v>
      </c>
      <c r="I142">
        <v>2641</v>
      </c>
      <c r="J142">
        <v>1357</v>
      </c>
      <c r="K142">
        <v>1284</v>
      </c>
      <c r="L142">
        <v>532</v>
      </c>
      <c r="M142">
        <v>273</v>
      </c>
      <c r="N142">
        <v>259</v>
      </c>
      <c r="O142">
        <v>4730</v>
      </c>
      <c r="P142">
        <v>2445</v>
      </c>
      <c r="Q142">
        <v>2285</v>
      </c>
      <c r="R142">
        <v>44</v>
      </c>
      <c r="S142">
        <v>23</v>
      </c>
      <c r="T142">
        <v>21</v>
      </c>
      <c r="U142">
        <v>214</v>
      </c>
      <c r="V142">
        <v>111</v>
      </c>
      <c r="W142">
        <v>103</v>
      </c>
    </row>
    <row r="143" spans="1:23" hidden="1" x14ac:dyDescent="0.25">
      <c r="A143">
        <v>21</v>
      </c>
      <c r="B143" t="s">
        <v>21</v>
      </c>
      <c r="C143">
        <v>2033</v>
      </c>
      <c r="D143" t="s">
        <v>217</v>
      </c>
      <c r="E143">
        <v>27548</v>
      </c>
      <c r="G143">
        <v>14489</v>
      </c>
      <c r="H143">
        <v>13059</v>
      </c>
      <c r="I143">
        <v>10904</v>
      </c>
      <c r="J143">
        <v>5783</v>
      </c>
      <c r="K143">
        <v>5121</v>
      </c>
      <c r="L143">
        <v>2226</v>
      </c>
      <c r="M143">
        <v>1108</v>
      </c>
      <c r="N143">
        <v>1118</v>
      </c>
      <c r="O143">
        <v>13603</v>
      </c>
      <c r="P143">
        <v>7151</v>
      </c>
      <c r="Q143">
        <v>6452</v>
      </c>
      <c r="R143">
        <v>113</v>
      </c>
      <c r="S143">
        <v>55</v>
      </c>
      <c r="T143">
        <v>58</v>
      </c>
      <c r="U143">
        <v>702</v>
      </c>
      <c r="V143">
        <v>392</v>
      </c>
      <c r="W143">
        <v>310</v>
      </c>
    </row>
    <row r="144" spans="1:23" hidden="1" x14ac:dyDescent="0.25">
      <c r="A144">
        <v>21</v>
      </c>
      <c r="B144" t="s">
        <v>21</v>
      </c>
      <c r="C144">
        <v>2033</v>
      </c>
      <c r="D144" t="s">
        <v>218</v>
      </c>
      <c r="E144">
        <v>20845</v>
      </c>
      <c r="G144">
        <v>10532</v>
      </c>
      <c r="H144">
        <v>10313</v>
      </c>
      <c r="I144">
        <v>9754</v>
      </c>
      <c r="J144">
        <v>4667</v>
      </c>
      <c r="K144">
        <v>5087</v>
      </c>
      <c r="L144">
        <v>1227</v>
      </c>
      <c r="M144">
        <v>677</v>
      </c>
      <c r="N144">
        <v>550</v>
      </c>
      <c r="O144">
        <v>9472</v>
      </c>
      <c r="P144">
        <v>5001</v>
      </c>
      <c r="Q144">
        <v>4471</v>
      </c>
      <c r="R144">
        <v>130</v>
      </c>
      <c r="S144">
        <v>60</v>
      </c>
      <c r="T144">
        <v>70</v>
      </c>
      <c r="U144">
        <v>262</v>
      </c>
      <c r="V144">
        <v>127</v>
      </c>
      <c r="W144">
        <v>135</v>
      </c>
    </row>
    <row r="145" spans="1:23" hidden="1" x14ac:dyDescent="0.25">
      <c r="A145">
        <v>21</v>
      </c>
      <c r="B145" t="s">
        <v>21</v>
      </c>
      <c r="C145">
        <v>2033</v>
      </c>
      <c r="D145" t="s">
        <v>219</v>
      </c>
      <c r="E145">
        <v>21225</v>
      </c>
      <c r="G145">
        <v>9690</v>
      </c>
      <c r="H145">
        <v>11535</v>
      </c>
      <c r="I145">
        <v>14825</v>
      </c>
      <c r="J145">
        <v>6597</v>
      </c>
      <c r="K145">
        <v>8228</v>
      </c>
      <c r="L145">
        <v>1094</v>
      </c>
      <c r="M145">
        <v>571</v>
      </c>
      <c r="N145">
        <v>523</v>
      </c>
      <c r="O145">
        <v>4803</v>
      </c>
      <c r="P145">
        <v>2317</v>
      </c>
      <c r="Q145">
        <v>2486</v>
      </c>
      <c r="R145">
        <v>166</v>
      </c>
      <c r="S145">
        <v>75</v>
      </c>
      <c r="T145">
        <v>91</v>
      </c>
      <c r="U145">
        <v>337</v>
      </c>
      <c r="V145">
        <v>130</v>
      </c>
      <c r="W145">
        <v>207</v>
      </c>
    </row>
    <row r="146" spans="1:23" x14ac:dyDescent="0.25">
      <c r="A146">
        <v>21</v>
      </c>
      <c r="B146" t="s">
        <v>21</v>
      </c>
      <c r="C146">
        <v>2034</v>
      </c>
      <c r="D146" t="s">
        <v>214</v>
      </c>
      <c r="E146">
        <v>104551</v>
      </c>
      <c r="F146" s="244">
        <f>(E146-E140)/E140</f>
        <v>1.2639714855781338E-2</v>
      </c>
      <c r="G146">
        <v>52398</v>
      </c>
      <c r="H146">
        <v>52153</v>
      </c>
      <c r="I146">
        <v>45868</v>
      </c>
      <c r="J146">
        <v>22271</v>
      </c>
      <c r="K146">
        <v>23597</v>
      </c>
      <c r="L146">
        <v>7107</v>
      </c>
      <c r="M146">
        <v>3630</v>
      </c>
      <c r="N146">
        <v>3477</v>
      </c>
      <c r="O146">
        <v>48749</v>
      </c>
      <c r="P146">
        <v>25083</v>
      </c>
      <c r="Q146">
        <v>23666</v>
      </c>
      <c r="R146">
        <v>567</v>
      </c>
      <c r="S146">
        <v>279</v>
      </c>
      <c r="T146">
        <v>288</v>
      </c>
      <c r="U146">
        <v>2260</v>
      </c>
      <c r="V146">
        <v>1135</v>
      </c>
      <c r="W146">
        <v>1125</v>
      </c>
    </row>
    <row r="147" spans="1:23" hidden="1" x14ac:dyDescent="0.25">
      <c r="A147">
        <v>21</v>
      </c>
      <c r="B147" t="s">
        <v>21</v>
      </c>
      <c r="C147">
        <v>2034</v>
      </c>
      <c r="D147" t="s">
        <v>215</v>
      </c>
      <c r="E147">
        <v>25936</v>
      </c>
      <c r="G147">
        <v>13097</v>
      </c>
      <c r="H147">
        <v>12839</v>
      </c>
      <c r="I147">
        <v>7829</v>
      </c>
      <c r="J147">
        <v>3929</v>
      </c>
      <c r="K147">
        <v>3900</v>
      </c>
      <c r="L147">
        <v>1995</v>
      </c>
      <c r="M147">
        <v>993</v>
      </c>
      <c r="N147">
        <v>1002</v>
      </c>
      <c r="O147">
        <v>15267</v>
      </c>
      <c r="P147">
        <v>7739</v>
      </c>
      <c r="Q147">
        <v>7528</v>
      </c>
      <c r="R147">
        <v>113</v>
      </c>
      <c r="S147">
        <v>65</v>
      </c>
      <c r="T147">
        <v>48</v>
      </c>
      <c r="U147">
        <v>732</v>
      </c>
      <c r="V147">
        <v>371</v>
      </c>
      <c r="W147">
        <v>361</v>
      </c>
    </row>
    <row r="148" spans="1:23" hidden="1" x14ac:dyDescent="0.25">
      <c r="A148">
        <v>21</v>
      </c>
      <c r="B148" t="s">
        <v>21</v>
      </c>
      <c r="C148">
        <v>2034</v>
      </c>
      <c r="D148" t="s">
        <v>216</v>
      </c>
      <c r="E148">
        <v>8124</v>
      </c>
      <c r="G148">
        <v>4247</v>
      </c>
      <c r="H148">
        <v>3877</v>
      </c>
      <c r="I148">
        <v>2606</v>
      </c>
      <c r="J148">
        <v>1363</v>
      </c>
      <c r="K148">
        <v>1243</v>
      </c>
      <c r="L148">
        <v>533</v>
      </c>
      <c r="M148">
        <v>276</v>
      </c>
      <c r="N148">
        <v>257</v>
      </c>
      <c r="O148">
        <v>4732</v>
      </c>
      <c r="P148">
        <v>2475</v>
      </c>
      <c r="Q148">
        <v>2257</v>
      </c>
      <c r="R148">
        <v>51</v>
      </c>
      <c r="S148">
        <v>26</v>
      </c>
      <c r="T148">
        <v>25</v>
      </c>
      <c r="U148">
        <v>202</v>
      </c>
      <c r="V148">
        <v>107</v>
      </c>
      <c r="W148">
        <v>95</v>
      </c>
    </row>
    <row r="149" spans="1:23" hidden="1" x14ac:dyDescent="0.25">
      <c r="A149">
        <v>21</v>
      </c>
      <c r="B149" t="s">
        <v>21</v>
      </c>
      <c r="C149">
        <v>2034</v>
      </c>
      <c r="D149" t="s">
        <v>217</v>
      </c>
      <c r="E149">
        <v>28180</v>
      </c>
      <c r="G149">
        <v>14690</v>
      </c>
      <c r="H149">
        <v>13490</v>
      </c>
      <c r="I149">
        <v>10983</v>
      </c>
      <c r="J149">
        <v>5797</v>
      </c>
      <c r="K149">
        <v>5186</v>
      </c>
      <c r="L149">
        <v>2260</v>
      </c>
      <c r="M149">
        <v>1111</v>
      </c>
      <c r="N149">
        <v>1149</v>
      </c>
      <c r="O149">
        <v>14097</v>
      </c>
      <c r="P149">
        <v>7328</v>
      </c>
      <c r="Q149">
        <v>6769</v>
      </c>
      <c r="R149">
        <v>113</v>
      </c>
      <c r="S149">
        <v>55</v>
      </c>
      <c r="T149">
        <v>58</v>
      </c>
      <c r="U149">
        <v>727</v>
      </c>
      <c r="V149">
        <v>399</v>
      </c>
      <c r="W149">
        <v>328</v>
      </c>
    </row>
    <row r="150" spans="1:23" hidden="1" x14ac:dyDescent="0.25">
      <c r="A150">
        <v>21</v>
      </c>
      <c r="B150" t="s">
        <v>21</v>
      </c>
      <c r="C150">
        <v>2034</v>
      </c>
      <c r="D150" t="s">
        <v>218</v>
      </c>
      <c r="E150">
        <v>20821</v>
      </c>
      <c r="G150">
        <v>10593</v>
      </c>
      <c r="H150">
        <v>10228</v>
      </c>
      <c r="I150">
        <v>9586</v>
      </c>
      <c r="J150">
        <v>4599</v>
      </c>
      <c r="K150">
        <v>4987</v>
      </c>
      <c r="L150">
        <v>1237</v>
      </c>
      <c r="M150">
        <v>688</v>
      </c>
      <c r="N150">
        <v>549</v>
      </c>
      <c r="O150">
        <v>9617</v>
      </c>
      <c r="P150">
        <v>5116</v>
      </c>
      <c r="Q150">
        <v>4501</v>
      </c>
      <c r="R150">
        <v>122</v>
      </c>
      <c r="S150">
        <v>58</v>
      </c>
      <c r="T150">
        <v>64</v>
      </c>
      <c r="U150">
        <v>259</v>
      </c>
      <c r="V150">
        <v>132</v>
      </c>
      <c r="W150">
        <v>127</v>
      </c>
    </row>
    <row r="151" spans="1:23" hidden="1" x14ac:dyDescent="0.25">
      <c r="A151">
        <v>21</v>
      </c>
      <c r="B151" t="s">
        <v>21</v>
      </c>
      <c r="C151">
        <v>2034</v>
      </c>
      <c r="D151" t="s">
        <v>219</v>
      </c>
      <c r="E151">
        <v>21490</v>
      </c>
      <c r="G151">
        <v>9771</v>
      </c>
      <c r="H151">
        <v>11719</v>
      </c>
      <c r="I151">
        <v>14864</v>
      </c>
      <c r="J151">
        <v>6583</v>
      </c>
      <c r="K151">
        <v>8281</v>
      </c>
      <c r="L151">
        <v>1082</v>
      </c>
      <c r="M151">
        <v>562</v>
      </c>
      <c r="N151">
        <v>520</v>
      </c>
      <c r="O151">
        <v>5036</v>
      </c>
      <c r="P151">
        <v>2425</v>
      </c>
      <c r="Q151">
        <v>2611</v>
      </c>
      <c r="R151">
        <v>168</v>
      </c>
      <c r="S151">
        <v>75</v>
      </c>
      <c r="T151">
        <v>93</v>
      </c>
      <c r="U151">
        <v>340</v>
      </c>
      <c r="V151">
        <v>126</v>
      </c>
      <c r="W151">
        <v>214</v>
      </c>
    </row>
    <row r="152" spans="1:23" x14ac:dyDescent="0.25">
      <c r="A152">
        <v>21</v>
      </c>
      <c r="B152" t="s">
        <v>21</v>
      </c>
      <c r="C152">
        <v>2035</v>
      </c>
      <c r="D152" t="s">
        <v>214</v>
      </c>
      <c r="E152">
        <v>105843</v>
      </c>
      <c r="F152" s="244">
        <f>(E152-E146)/E146</f>
        <v>1.2357605379192929E-2</v>
      </c>
      <c r="G152">
        <v>53011</v>
      </c>
      <c r="H152">
        <v>52832</v>
      </c>
      <c r="I152">
        <v>45800</v>
      </c>
      <c r="J152">
        <v>22220</v>
      </c>
      <c r="K152">
        <v>23580</v>
      </c>
      <c r="L152">
        <v>7167</v>
      </c>
      <c r="M152">
        <v>3647</v>
      </c>
      <c r="N152">
        <v>3520</v>
      </c>
      <c r="O152">
        <v>50021</v>
      </c>
      <c r="P152">
        <v>25714</v>
      </c>
      <c r="Q152">
        <v>24307</v>
      </c>
      <c r="R152">
        <v>568</v>
      </c>
      <c r="S152">
        <v>281</v>
      </c>
      <c r="T152">
        <v>287</v>
      </c>
      <c r="U152">
        <v>2287</v>
      </c>
      <c r="V152">
        <v>1149</v>
      </c>
      <c r="W152">
        <v>1138</v>
      </c>
    </row>
    <row r="153" spans="1:23" hidden="1" x14ac:dyDescent="0.25">
      <c r="A153">
        <v>21</v>
      </c>
      <c r="B153" t="s">
        <v>21</v>
      </c>
      <c r="C153">
        <v>2035</v>
      </c>
      <c r="D153" t="s">
        <v>215</v>
      </c>
      <c r="E153">
        <v>26402</v>
      </c>
      <c r="G153">
        <v>13328</v>
      </c>
      <c r="H153">
        <v>13074</v>
      </c>
      <c r="I153">
        <v>7863</v>
      </c>
      <c r="J153">
        <v>3941</v>
      </c>
      <c r="K153">
        <v>3922</v>
      </c>
      <c r="L153">
        <v>2024</v>
      </c>
      <c r="M153">
        <v>1007</v>
      </c>
      <c r="N153">
        <v>1017</v>
      </c>
      <c r="O153">
        <v>15652</v>
      </c>
      <c r="P153">
        <v>7935</v>
      </c>
      <c r="Q153">
        <v>7717</v>
      </c>
      <c r="R153">
        <v>115</v>
      </c>
      <c r="S153">
        <v>66</v>
      </c>
      <c r="T153">
        <v>49</v>
      </c>
      <c r="U153">
        <v>748</v>
      </c>
      <c r="V153">
        <v>379</v>
      </c>
      <c r="W153">
        <v>369</v>
      </c>
    </row>
    <row r="154" spans="1:23" hidden="1" x14ac:dyDescent="0.25">
      <c r="A154">
        <v>21</v>
      </c>
      <c r="B154" t="s">
        <v>21</v>
      </c>
      <c r="C154">
        <v>2035</v>
      </c>
      <c r="D154" t="s">
        <v>216</v>
      </c>
      <c r="E154">
        <v>8200</v>
      </c>
      <c r="G154">
        <v>4269</v>
      </c>
      <c r="H154">
        <v>3931</v>
      </c>
      <c r="I154">
        <v>2655</v>
      </c>
      <c r="J154">
        <v>1377</v>
      </c>
      <c r="K154">
        <v>1278</v>
      </c>
      <c r="L154">
        <v>544</v>
      </c>
      <c r="M154">
        <v>270</v>
      </c>
      <c r="N154">
        <v>274</v>
      </c>
      <c r="O154">
        <v>4749</v>
      </c>
      <c r="P154">
        <v>2485</v>
      </c>
      <c r="Q154">
        <v>2264</v>
      </c>
      <c r="R154">
        <v>51</v>
      </c>
      <c r="S154">
        <v>29</v>
      </c>
      <c r="T154">
        <v>22</v>
      </c>
      <c r="U154">
        <v>201</v>
      </c>
      <c r="V154">
        <v>108</v>
      </c>
      <c r="W154">
        <v>93</v>
      </c>
    </row>
    <row r="155" spans="1:23" hidden="1" x14ac:dyDescent="0.25">
      <c r="A155">
        <v>21</v>
      </c>
      <c r="B155" t="s">
        <v>21</v>
      </c>
      <c r="C155">
        <v>2035</v>
      </c>
      <c r="D155" t="s">
        <v>217</v>
      </c>
      <c r="E155">
        <v>28593</v>
      </c>
      <c r="G155">
        <v>14897</v>
      </c>
      <c r="H155">
        <v>13696</v>
      </c>
      <c r="I155">
        <v>10977</v>
      </c>
      <c r="J155">
        <v>5816</v>
      </c>
      <c r="K155">
        <v>5161</v>
      </c>
      <c r="L155">
        <v>2263</v>
      </c>
      <c r="M155">
        <v>1100</v>
      </c>
      <c r="N155">
        <v>1163</v>
      </c>
      <c r="O155">
        <v>14508</v>
      </c>
      <c r="P155">
        <v>7520</v>
      </c>
      <c r="Q155">
        <v>6988</v>
      </c>
      <c r="R155">
        <v>112</v>
      </c>
      <c r="S155">
        <v>55</v>
      </c>
      <c r="T155">
        <v>57</v>
      </c>
      <c r="U155">
        <v>733</v>
      </c>
      <c r="V155">
        <v>406</v>
      </c>
      <c r="W155">
        <v>327</v>
      </c>
    </row>
    <row r="156" spans="1:23" hidden="1" x14ac:dyDescent="0.25">
      <c r="A156">
        <v>21</v>
      </c>
      <c r="B156" t="s">
        <v>21</v>
      </c>
      <c r="C156">
        <v>2035</v>
      </c>
      <c r="D156" t="s">
        <v>218</v>
      </c>
      <c r="E156">
        <v>20873</v>
      </c>
      <c r="G156">
        <v>10645</v>
      </c>
      <c r="H156">
        <v>10228</v>
      </c>
      <c r="I156">
        <v>9442</v>
      </c>
      <c r="J156">
        <v>4544</v>
      </c>
      <c r="K156">
        <v>4898</v>
      </c>
      <c r="L156">
        <v>1258</v>
      </c>
      <c r="M156">
        <v>706</v>
      </c>
      <c r="N156">
        <v>552</v>
      </c>
      <c r="O156">
        <v>9791</v>
      </c>
      <c r="P156">
        <v>5207</v>
      </c>
      <c r="Q156">
        <v>4584</v>
      </c>
      <c r="R156">
        <v>119</v>
      </c>
      <c r="S156">
        <v>55</v>
      </c>
      <c r="T156">
        <v>64</v>
      </c>
      <c r="U156">
        <v>263</v>
      </c>
      <c r="V156">
        <v>133</v>
      </c>
      <c r="W156">
        <v>130</v>
      </c>
    </row>
    <row r="157" spans="1:23" hidden="1" x14ac:dyDescent="0.25">
      <c r="A157">
        <v>21</v>
      </c>
      <c r="B157" t="s">
        <v>21</v>
      </c>
      <c r="C157">
        <v>2035</v>
      </c>
      <c r="D157" t="s">
        <v>219</v>
      </c>
      <c r="E157">
        <v>21775</v>
      </c>
      <c r="G157">
        <v>9872</v>
      </c>
      <c r="H157">
        <v>11903</v>
      </c>
      <c r="I157">
        <v>14863</v>
      </c>
      <c r="J157">
        <v>6542</v>
      </c>
      <c r="K157">
        <v>8321</v>
      </c>
      <c r="L157">
        <v>1078</v>
      </c>
      <c r="M157">
        <v>564</v>
      </c>
      <c r="N157">
        <v>514</v>
      </c>
      <c r="O157">
        <v>5321</v>
      </c>
      <c r="P157">
        <v>2567</v>
      </c>
      <c r="Q157">
        <v>2754</v>
      </c>
      <c r="R157">
        <v>171</v>
      </c>
      <c r="S157">
        <v>76</v>
      </c>
      <c r="T157">
        <v>95</v>
      </c>
      <c r="U157">
        <v>342</v>
      </c>
      <c r="V157">
        <v>123</v>
      </c>
      <c r="W157">
        <v>219</v>
      </c>
    </row>
    <row r="158" spans="1:23" x14ac:dyDescent="0.25">
      <c r="A158">
        <v>21</v>
      </c>
      <c r="B158" t="s">
        <v>21</v>
      </c>
      <c r="C158">
        <v>2036</v>
      </c>
      <c r="D158" t="s">
        <v>214</v>
      </c>
      <c r="E158">
        <v>107141</v>
      </c>
      <c r="F158" s="244">
        <f>(E158-E152)/E152</f>
        <v>1.226344680328411E-2</v>
      </c>
      <c r="G158">
        <v>53623</v>
      </c>
      <c r="H158">
        <v>53518</v>
      </c>
      <c r="I158">
        <v>45714</v>
      </c>
      <c r="J158">
        <v>22161</v>
      </c>
      <c r="K158">
        <v>23553</v>
      </c>
      <c r="L158">
        <v>7236</v>
      </c>
      <c r="M158">
        <v>3665</v>
      </c>
      <c r="N158">
        <v>3571</v>
      </c>
      <c r="O158">
        <v>51307</v>
      </c>
      <c r="P158">
        <v>26351</v>
      </c>
      <c r="Q158">
        <v>24956</v>
      </c>
      <c r="R158">
        <v>569</v>
      </c>
      <c r="S158">
        <v>283</v>
      </c>
      <c r="T158">
        <v>286</v>
      </c>
      <c r="U158">
        <v>2315</v>
      </c>
      <c r="V158">
        <v>1163</v>
      </c>
      <c r="W158">
        <v>1152</v>
      </c>
    </row>
    <row r="159" spans="1:23" hidden="1" x14ac:dyDescent="0.25">
      <c r="A159">
        <v>21</v>
      </c>
      <c r="B159" t="s">
        <v>21</v>
      </c>
      <c r="C159">
        <v>2036</v>
      </c>
      <c r="D159" t="s">
        <v>215</v>
      </c>
      <c r="E159">
        <v>26841</v>
      </c>
      <c r="G159">
        <v>13552</v>
      </c>
      <c r="H159">
        <v>13289</v>
      </c>
      <c r="I159">
        <v>7883</v>
      </c>
      <c r="J159">
        <v>3947</v>
      </c>
      <c r="K159">
        <v>3936</v>
      </c>
      <c r="L159">
        <v>2046</v>
      </c>
      <c r="M159">
        <v>1020</v>
      </c>
      <c r="N159">
        <v>1026</v>
      </c>
      <c r="O159">
        <v>16034</v>
      </c>
      <c r="P159">
        <v>8133</v>
      </c>
      <c r="Q159">
        <v>7901</v>
      </c>
      <c r="R159">
        <v>115</v>
      </c>
      <c r="S159">
        <v>66</v>
      </c>
      <c r="T159">
        <v>49</v>
      </c>
      <c r="U159">
        <v>763</v>
      </c>
      <c r="V159">
        <v>386</v>
      </c>
      <c r="W159">
        <v>377</v>
      </c>
    </row>
    <row r="160" spans="1:23" hidden="1" x14ac:dyDescent="0.25">
      <c r="A160">
        <v>21</v>
      </c>
      <c r="B160" t="s">
        <v>21</v>
      </c>
      <c r="C160">
        <v>2036</v>
      </c>
      <c r="D160" t="s">
        <v>216</v>
      </c>
      <c r="E160">
        <v>8365</v>
      </c>
      <c r="G160">
        <v>4343</v>
      </c>
      <c r="H160">
        <v>4022</v>
      </c>
      <c r="I160">
        <v>2679</v>
      </c>
      <c r="J160">
        <v>1383</v>
      </c>
      <c r="K160">
        <v>1296</v>
      </c>
      <c r="L160">
        <v>570</v>
      </c>
      <c r="M160">
        <v>280</v>
      </c>
      <c r="N160">
        <v>290</v>
      </c>
      <c r="O160">
        <v>4862</v>
      </c>
      <c r="P160">
        <v>2542</v>
      </c>
      <c r="Q160">
        <v>2320</v>
      </c>
      <c r="R160">
        <v>48</v>
      </c>
      <c r="S160">
        <v>28</v>
      </c>
      <c r="T160">
        <v>20</v>
      </c>
      <c r="U160">
        <v>206</v>
      </c>
      <c r="V160">
        <v>110</v>
      </c>
      <c r="W160">
        <v>96</v>
      </c>
    </row>
    <row r="161" spans="1:23" hidden="1" x14ac:dyDescent="0.25">
      <c r="A161">
        <v>21</v>
      </c>
      <c r="B161" t="s">
        <v>21</v>
      </c>
      <c r="C161">
        <v>2036</v>
      </c>
      <c r="D161" t="s">
        <v>217</v>
      </c>
      <c r="E161">
        <v>28869</v>
      </c>
      <c r="G161">
        <v>15009</v>
      </c>
      <c r="H161">
        <v>13860</v>
      </c>
      <c r="I161">
        <v>10995</v>
      </c>
      <c r="J161">
        <v>5808</v>
      </c>
      <c r="K161">
        <v>5187</v>
      </c>
      <c r="L161">
        <v>2237</v>
      </c>
      <c r="M161">
        <v>1085</v>
      </c>
      <c r="N161">
        <v>1152</v>
      </c>
      <c r="O161">
        <v>14784</v>
      </c>
      <c r="P161">
        <v>7654</v>
      </c>
      <c r="Q161">
        <v>7130</v>
      </c>
      <c r="R161">
        <v>116</v>
      </c>
      <c r="S161">
        <v>57</v>
      </c>
      <c r="T161">
        <v>59</v>
      </c>
      <c r="U161">
        <v>737</v>
      </c>
      <c r="V161">
        <v>405</v>
      </c>
      <c r="W161">
        <v>332</v>
      </c>
    </row>
    <row r="162" spans="1:23" hidden="1" x14ac:dyDescent="0.25">
      <c r="A162">
        <v>21</v>
      </c>
      <c r="B162" t="s">
        <v>21</v>
      </c>
      <c r="C162">
        <v>2036</v>
      </c>
      <c r="D162" t="s">
        <v>218</v>
      </c>
      <c r="E162">
        <v>21048</v>
      </c>
      <c r="G162">
        <v>10766</v>
      </c>
      <c r="H162">
        <v>10282</v>
      </c>
      <c r="I162">
        <v>9309</v>
      </c>
      <c r="J162">
        <v>4527</v>
      </c>
      <c r="K162">
        <v>4782</v>
      </c>
      <c r="L162">
        <v>1291</v>
      </c>
      <c r="M162">
        <v>709</v>
      </c>
      <c r="N162">
        <v>582</v>
      </c>
      <c r="O162">
        <v>10061</v>
      </c>
      <c r="P162">
        <v>5335</v>
      </c>
      <c r="Q162">
        <v>4726</v>
      </c>
      <c r="R162">
        <v>118</v>
      </c>
      <c r="S162">
        <v>54</v>
      </c>
      <c r="T162">
        <v>64</v>
      </c>
      <c r="U162">
        <v>269</v>
      </c>
      <c r="V162">
        <v>141</v>
      </c>
      <c r="W162">
        <v>128</v>
      </c>
    </row>
    <row r="163" spans="1:23" hidden="1" x14ac:dyDescent="0.25">
      <c r="A163">
        <v>21</v>
      </c>
      <c r="B163" t="s">
        <v>21</v>
      </c>
      <c r="C163">
        <v>2036</v>
      </c>
      <c r="D163" t="s">
        <v>219</v>
      </c>
      <c r="E163">
        <v>22018</v>
      </c>
      <c r="G163">
        <v>9953</v>
      </c>
      <c r="H163">
        <v>12065</v>
      </c>
      <c r="I163">
        <v>14848</v>
      </c>
      <c r="J163">
        <v>6496</v>
      </c>
      <c r="K163">
        <v>8352</v>
      </c>
      <c r="L163">
        <v>1092</v>
      </c>
      <c r="M163">
        <v>571</v>
      </c>
      <c r="N163">
        <v>521</v>
      </c>
      <c r="O163">
        <v>5566</v>
      </c>
      <c r="P163">
        <v>2687</v>
      </c>
      <c r="Q163">
        <v>2879</v>
      </c>
      <c r="R163">
        <v>172</v>
      </c>
      <c r="S163">
        <v>78</v>
      </c>
      <c r="T163">
        <v>94</v>
      </c>
      <c r="U163">
        <v>340</v>
      </c>
      <c r="V163">
        <v>121</v>
      </c>
      <c r="W163">
        <v>219</v>
      </c>
    </row>
    <row r="164" spans="1:23" x14ac:dyDescent="0.25">
      <c r="A164">
        <v>21</v>
      </c>
      <c r="B164" t="s">
        <v>21</v>
      </c>
      <c r="C164">
        <v>2037</v>
      </c>
      <c r="D164" t="s">
        <v>214</v>
      </c>
      <c r="E164">
        <v>108422</v>
      </c>
      <c r="F164" s="244">
        <f>(E164-E158)/E158</f>
        <v>1.1956207240925509E-2</v>
      </c>
      <c r="G164">
        <v>54237</v>
      </c>
      <c r="H164">
        <v>54185</v>
      </c>
      <c r="I164">
        <v>45608</v>
      </c>
      <c r="J164">
        <v>22093</v>
      </c>
      <c r="K164">
        <v>23515</v>
      </c>
      <c r="L164">
        <v>7308</v>
      </c>
      <c r="M164">
        <v>3688</v>
      </c>
      <c r="N164">
        <v>3620</v>
      </c>
      <c r="O164">
        <v>52593</v>
      </c>
      <c r="P164">
        <v>26993</v>
      </c>
      <c r="Q164">
        <v>25600</v>
      </c>
      <c r="R164">
        <v>568</v>
      </c>
      <c r="S164">
        <v>281</v>
      </c>
      <c r="T164">
        <v>287</v>
      </c>
      <c r="U164">
        <v>2345</v>
      </c>
      <c r="V164">
        <v>1182</v>
      </c>
      <c r="W164">
        <v>1163</v>
      </c>
    </row>
    <row r="165" spans="1:23" hidden="1" x14ac:dyDescent="0.25">
      <c r="A165">
        <v>21</v>
      </c>
      <c r="B165" t="s">
        <v>21</v>
      </c>
      <c r="C165">
        <v>2037</v>
      </c>
      <c r="D165" t="s">
        <v>215</v>
      </c>
      <c r="E165">
        <v>27257</v>
      </c>
      <c r="G165">
        <v>13758</v>
      </c>
      <c r="H165">
        <v>13499</v>
      </c>
      <c r="I165">
        <v>7889</v>
      </c>
      <c r="J165">
        <v>3946</v>
      </c>
      <c r="K165">
        <v>3943</v>
      </c>
      <c r="L165">
        <v>2066</v>
      </c>
      <c r="M165">
        <v>1030</v>
      </c>
      <c r="N165">
        <v>1036</v>
      </c>
      <c r="O165">
        <v>16410</v>
      </c>
      <c r="P165">
        <v>8324</v>
      </c>
      <c r="Q165">
        <v>8086</v>
      </c>
      <c r="R165">
        <v>116</v>
      </c>
      <c r="S165">
        <v>66</v>
      </c>
      <c r="T165">
        <v>50</v>
      </c>
      <c r="U165">
        <v>776</v>
      </c>
      <c r="V165">
        <v>392</v>
      </c>
      <c r="W165">
        <v>384</v>
      </c>
    </row>
    <row r="166" spans="1:23" hidden="1" x14ac:dyDescent="0.25">
      <c r="A166">
        <v>21</v>
      </c>
      <c r="B166" t="s">
        <v>21</v>
      </c>
      <c r="C166">
        <v>2037</v>
      </c>
      <c r="D166" t="s">
        <v>216</v>
      </c>
      <c r="E166">
        <v>8562</v>
      </c>
      <c r="G166">
        <v>4440</v>
      </c>
      <c r="H166">
        <v>4122</v>
      </c>
      <c r="I166">
        <v>2713</v>
      </c>
      <c r="J166">
        <v>1394</v>
      </c>
      <c r="K166">
        <v>1319</v>
      </c>
      <c r="L166">
        <v>597</v>
      </c>
      <c r="M166">
        <v>294</v>
      </c>
      <c r="N166">
        <v>303</v>
      </c>
      <c r="O166">
        <v>4993</v>
      </c>
      <c r="P166">
        <v>2610</v>
      </c>
      <c r="Q166">
        <v>2383</v>
      </c>
      <c r="R166">
        <v>46</v>
      </c>
      <c r="S166">
        <v>28</v>
      </c>
      <c r="T166">
        <v>18</v>
      </c>
      <c r="U166">
        <v>213</v>
      </c>
      <c r="V166">
        <v>114</v>
      </c>
      <c r="W166">
        <v>99</v>
      </c>
    </row>
    <row r="167" spans="1:23" hidden="1" x14ac:dyDescent="0.25">
      <c r="A167">
        <v>21</v>
      </c>
      <c r="B167" t="s">
        <v>21</v>
      </c>
      <c r="C167">
        <v>2037</v>
      </c>
      <c r="D167" t="s">
        <v>217</v>
      </c>
      <c r="E167">
        <v>28955</v>
      </c>
      <c r="G167">
        <v>15042</v>
      </c>
      <c r="H167">
        <v>13913</v>
      </c>
      <c r="I167">
        <v>10891</v>
      </c>
      <c r="J167">
        <v>5757</v>
      </c>
      <c r="K167">
        <v>5134</v>
      </c>
      <c r="L167">
        <v>2200</v>
      </c>
      <c r="M167">
        <v>1051</v>
      </c>
      <c r="N167">
        <v>1149</v>
      </c>
      <c r="O167">
        <v>15009</v>
      </c>
      <c r="P167">
        <v>7765</v>
      </c>
      <c r="Q167">
        <v>7244</v>
      </c>
      <c r="R167">
        <v>118</v>
      </c>
      <c r="S167">
        <v>57</v>
      </c>
      <c r="T167">
        <v>61</v>
      </c>
      <c r="U167">
        <v>737</v>
      </c>
      <c r="V167">
        <v>412</v>
      </c>
      <c r="W167">
        <v>325</v>
      </c>
    </row>
    <row r="168" spans="1:23" hidden="1" x14ac:dyDescent="0.25">
      <c r="A168">
        <v>21</v>
      </c>
      <c r="B168" t="s">
        <v>21</v>
      </c>
      <c r="C168">
        <v>2037</v>
      </c>
      <c r="D168" t="s">
        <v>218</v>
      </c>
      <c r="E168">
        <v>21423</v>
      </c>
      <c r="G168">
        <v>10957</v>
      </c>
      <c r="H168">
        <v>10466</v>
      </c>
      <c r="I168">
        <v>9341</v>
      </c>
      <c r="J168">
        <v>4559</v>
      </c>
      <c r="K168">
        <v>4782</v>
      </c>
      <c r="L168">
        <v>1358</v>
      </c>
      <c r="M168">
        <v>740</v>
      </c>
      <c r="N168">
        <v>618</v>
      </c>
      <c r="O168">
        <v>10326</v>
      </c>
      <c r="P168">
        <v>5462</v>
      </c>
      <c r="Q168">
        <v>4864</v>
      </c>
      <c r="R168">
        <v>113</v>
      </c>
      <c r="S168">
        <v>53</v>
      </c>
      <c r="T168">
        <v>60</v>
      </c>
      <c r="U168">
        <v>285</v>
      </c>
      <c r="V168">
        <v>143</v>
      </c>
      <c r="W168">
        <v>142</v>
      </c>
    </row>
    <row r="169" spans="1:23" hidden="1" x14ac:dyDescent="0.25">
      <c r="A169">
        <v>21</v>
      </c>
      <c r="B169" t="s">
        <v>21</v>
      </c>
      <c r="C169">
        <v>2037</v>
      </c>
      <c r="D169" t="s">
        <v>219</v>
      </c>
      <c r="E169">
        <v>22225</v>
      </c>
      <c r="G169">
        <v>10040</v>
      </c>
      <c r="H169">
        <v>12185</v>
      </c>
      <c r="I169">
        <v>14774</v>
      </c>
      <c r="J169">
        <v>6437</v>
      </c>
      <c r="K169">
        <v>8337</v>
      </c>
      <c r="L169">
        <v>1087</v>
      </c>
      <c r="M169">
        <v>573</v>
      </c>
      <c r="N169">
        <v>514</v>
      </c>
      <c r="O169">
        <v>5855</v>
      </c>
      <c r="P169">
        <v>2832</v>
      </c>
      <c r="Q169">
        <v>3023</v>
      </c>
      <c r="R169">
        <v>175</v>
      </c>
      <c r="S169">
        <v>77</v>
      </c>
      <c r="T169">
        <v>98</v>
      </c>
      <c r="U169">
        <v>334</v>
      </c>
      <c r="V169">
        <v>121</v>
      </c>
      <c r="W169">
        <v>213</v>
      </c>
    </row>
    <row r="170" spans="1:23" x14ac:dyDescent="0.25">
      <c r="A170">
        <v>21</v>
      </c>
      <c r="B170" t="s">
        <v>21</v>
      </c>
      <c r="C170">
        <v>2038</v>
      </c>
      <c r="D170" t="s">
        <v>214</v>
      </c>
      <c r="E170">
        <v>109691</v>
      </c>
      <c r="F170" s="244">
        <f>(E170-E164)/E164</f>
        <v>1.1704266661747616E-2</v>
      </c>
      <c r="G170">
        <v>54838</v>
      </c>
      <c r="H170">
        <v>54853</v>
      </c>
      <c r="I170">
        <v>45476</v>
      </c>
      <c r="J170">
        <v>22018</v>
      </c>
      <c r="K170">
        <v>23458</v>
      </c>
      <c r="L170">
        <v>7373</v>
      </c>
      <c r="M170">
        <v>3706</v>
      </c>
      <c r="N170">
        <v>3667</v>
      </c>
      <c r="O170">
        <v>53903</v>
      </c>
      <c r="P170">
        <v>27635</v>
      </c>
      <c r="Q170">
        <v>26268</v>
      </c>
      <c r="R170">
        <v>570</v>
      </c>
      <c r="S170">
        <v>283</v>
      </c>
      <c r="T170">
        <v>287</v>
      </c>
      <c r="U170">
        <v>2369</v>
      </c>
      <c r="V170">
        <v>1196</v>
      </c>
      <c r="W170">
        <v>1173</v>
      </c>
    </row>
    <row r="171" spans="1:23" hidden="1" x14ac:dyDescent="0.25">
      <c r="A171">
        <v>21</v>
      </c>
      <c r="B171" t="s">
        <v>21</v>
      </c>
      <c r="C171">
        <v>2038</v>
      </c>
      <c r="D171" t="s">
        <v>215</v>
      </c>
      <c r="E171">
        <v>27650</v>
      </c>
      <c r="G171">
        <v>13954</v>
      </c>
      <c r="H171">
        <v>13696</v>
      </c>
      <c r="I171">
        <v>7888</v>
      </c>
      <c r="J171">
        <v>3944</v>
      </c>
      <c r="K171">
        <v>3944</v>
      </c>
      <c r="L171">
        <v>2079</v>
      </c>
      <c r="M171">
        <v>1035</v>
      </c>
      <c r="N171">
        <v>1044</v>
      </c>
      <c r="O171">
        <v>16780</v>
      </c>
      <c r="P171">
        <v>8513</v>
      </c>
      <c r="Q171">
        <v>8267</v>
      </c>
      <c r="R171">
        <v>116</v>
      </c>
      <c r="S171">
        <v>65</v>
      </c>
      <c r="T171">
        <v>51</v>
      </c>
      <c r="U171">
        <v>787</v>
      </c>
      <c r="V171">
        <v>397</v>
      </c>
      <c r="W171">
        <v>390</v>
      </c>
    </row>
    <row r="172" spans="1:23" hidden="1" x14ac:dyDescent="0.25">
      <c r="A172">
        <v>21</v>
      </c>
      <c r="B172" t="s">
        <v>21</v>
      </c>
      <c r="C172">
        <v>2038</v>
      </c>
      <c r="D172" t="s">
        <v>216</v>
      </c>
      <c r="E172">
        <v>8767</v>
      </c>
      <c r="G172">
        <v>4537</v>
      </c>
      <c r="H172">
        <v>4230</v>
      </c>
      <c r="I172">
        <v>2750</v>
      </c>
      <c r="J172">
        <v>1406</v>
      </c>
      <c r="K172">
        <v>1344</v>
      </c>
      <c r="L172">
        <v>625</v>
      </c>
      <c r="M172">
        <v>308</v>
      </c>
      <c r="N172">
        <v>317</v>
      </c>
      <c r="O172">
        <v>5127</v>
      </c>
      <c r="P172">
        <v>2677</v>
      </c>
      <c r="Q172">
        <v>2450</v>
      </c>
      <c r="R172">
        <v>45</v>
      </c>
      <c r="S172">
        <v>28</v>
      </c>
      <c r="T172">
        <v>17</v>
      </c>
      <c r="U172">
        <v>220</v>
      </c>
      <c r="V172">
        <v>118</v>
      </c>
      <c r="W172">
        <v>102</v>
      </c>
    </row>
    <row r="173" spans="1:23" hidden="1" x14ac:dyDescent="0.25">
      <c r="A173">
        <v>21</v>
      </c>
      <c r="B173" t="s">
        <v>21</v>
      </c>
      <c r="C173">
        <v>2038</v>
      </c>
      <c r="D173" t="s">
        <v>217</v>
      </c>
      <c r="E173">
        <v>29086</v>
      </c>
      <c r="G173">
        <v>15119</v>
      </c>
      <c r="H173">
        <v>13967</v>
      </c>
      <c r="I173">
        <v>10746</v>
      </c>
      <c r="J173">
        <v>5676</v>
      </c>
      <c r="K173">
        <v>5070</v>
      </c>
      <c r="L173">
        <v>2209</v>
      </c>
      <c r="M173">
        <v>1047</v>
      </c>
      <c r="N173">
        <v>1162</v>
      </c>
      <c r="O173">
        <v>15277</v>
      </c>
      <c r="P173">
        <v>7930</v>
      </c>
      <c r="Q173">
        <v>7347</v>
      </c>
      <c r="R173">
        <v>123</v>
      </c>
      <c r="S173">
        <v>59</v>
      </c>
      <c r="T173">
        <v>64</v>
      </c>
      <c r="U173">
        <v>731</v>
      </c>
      <c r="V173">
        <v>407</v>
      </c>
      <c r="W173">
        <v>324</v>
      </c>
    </row>
    <row r="174" spans="1:23" hidden="1" x14ac:dyDescent="0.25">
      <c r="A174">
        <v>21</v>
      </c>
      <c r="B174" t="s">
        <v>21</v>
      </c>
      <c r="C174">
        <v>2038</v>
      </c>
      <c r="D174" t="s">
        <v>218</v>
      </c>
      <c r="E174">
        <v>21851</v>
      </c>
      <c r="G174">
        <v>11122</v>
      </c>
      <c r="H174">
        <v>10729</v>
      </c>
      <c r="I174">
        <v>9445</v>
      </c>
      <c r="J174">
        <v>4603</v>
      </c>
      <c r="K174">
        <v>4842</v>
      </c>
      <c r="L174">
        <v>1380</v>
      </c>
      <c r="M174">
        <v>742</v>
      </c>
      <c r="N174">
        <v>638</v>
      </c>
      <c r="O174">
        <v>10620</v>
      </c>
      <c r="P174">
        <v>5577</v>
      </c>
      <c r="Q174">
        <v>5043</v>
      </c>
      <c r="R174">
        <v>102</v>
      </c>
      <c r="S174">
        <v>47</v>
      </c>
      <c r="T174">
        <v>55</v>
      </c>
      <c r="U174">
        <v>304</v>
      </c>
      <c r="V174">
        <v>153</v>
      </c>
      <c r="W174">
        <v>151</v>
      </c>
    </row>
    <row r="175" spans="1:23" hidden="1" x14ac:dyDescent="0.25">
      <c r="A175">
        <v>21</v>
      </c>
      <c r="B175" t="s">
        <v>21</v>
      </c>
      <c r="C175">
        <v>2038</v>
      </c>
      <c r="D175" t="s">
        <v>219</v>
      </c>
      <c r="E175">
        <v>22337</v>
      </c>
      <c r="G175">
        <v>10106</v>
      </c>
      <c r="H175">
        <v>12231</v>
      </c>
      <c r="I175">
        <v>14647</v>
      </c>
      <c r="J175">
        <v>6389</v>
      </c>
      <c r="K175">
        <v>8258</v>
      </c>
      <c r="L175">
        <v>1080</v>
      </c>
      <c r="M175">
        <v>574</v>
      </c>
      <c r="N175">
        <v>506</v>
      </c>
      <c r="O175">
        <v>6099</v>
      </c>
      <c r="P175">
        <v>2938</v>
      </c>
      <c r="Q175">
        <v>3161</v>
      </c>
      <c r="R175">
        <v>184</v>
      </c>
      <c r="S175">
        <v>84</v>
      </c>
      <c r="T175">
        <v>100</v>
      </c>
      <c r="U175">
        <v>327</v>
      </c>
      <c r="V175">
        <v>121</v>
      </c>
      <c r="W175">
        <v>206</v>
      </c>
    </row>
    <row r="176" spans="1:23" x14ac:dyDescent="0.25">
      <c r="A176">
        <v>21</v>
      </c>
      <c r="B176" t="s">
        <v>21</v>
      </c>
      <c r="C176">
        <v>2039</v>
      </c>
      <c r="D176" t="s">
        <v>214</v>
      </c>
      <c r="E176">
        <v>110915</v>
      </c>
      <c r="F176" s="244">
        <f>(E176-E170)/E170</f>
        <v>1.1158618300498673E-2</v>
      </c>
      <c r="G176">
        <v>55420</v>
      </c>
      <c r="H176">
        <v>55495</v>
      </c>
      <c r="I176">
        <v>45316</v>
      </c>
      <c r="J176">
        <v>21932</v>
      </c>
      <c r="K176">
        <v>23384</v>
      </c>
      <c r="L176">
        <v>7436</v>
      </c>
      <c r="M176">
        <v>3720</v>
      </c>
      <c r="N176">
        <v>3716</v>
      </c>
      <c r="O176">
        <v>55196</v>
      </c>
      <c r="P176">
        <v>28271</v>
      </c>
      <c r="Q176">
        <v>26925</v>
      </c>
      <c r="R176">
        <v>572</v>
      </c>
      <c r="S176">
        <v>285</v>
      </c>
      <c r="T176">
        <v>287</v>
      </c>
      <c r="U176">
        <v>2395</v>
      </c>
      <c r="V176">
        <v>1212</v>
      </c>
      <c r="W176">
        <v>1183</v>
      </c>
    </row>
    <row r="177" spans="1:23" hidden="1" x14ac:dyDescent="0.25">
      <c r="A177">
        <v>21</v>
      </c>
      <c r="B177" t="s">
        <v>21</v>
      </c>
      <c r="C177">
        <v>2039</v>
      </c>
      <c r="D177" t="s">
        <v>215</v>
      </c>
      <c r="E177">
        <v>28005</v>
      </c>
      <c r="G177">
        <v>14132</v>
      </c>
      <c r="H177">
        <v>13873</v>
      </c>
      <c r="I177">
        <v>7866</v>
      </c>
      <c r="J177">
        <v>3932</v>
      </c>
      <c r="K177">
        <v>3934</v>
      </c>
      <c r="L177">
        <v>2093</v>
      </c>
      <c r="M177">
        <v>1042</v>
      </c>
      <c r="N177">
        <v>1051</v>
      </c>
      <c r="O177">
        <v>17134</v>
      </c>
      <c r="P177">
        <v>8692</v>
      </c>
      <c r="Q177">
        <v>8442</v>
      </c>
      <c r="R177">
        <v>116</v>
      </c>
      <c r="S177">
        <v>65</v>
      </c>
      <c r="T177">
        <v>51</v>
      </c>
      <c r="U177">
        <v>796</v>
      </c>
      <c r="V177">
        <v>401</v>
      </c>
      <c r="W177">
        <v>395</v>
      </c>
    </row>
    <row r="178" spans="1:23" hidden="1" x14ac:dyDescent="0.25">
      <c r="A178">
        <v>21</v>
      </c>
      <c r="B178" t="s">
        <v>21</v>
      </c>
      <c r="C178">
        <v>2039</v>
      </c>
      <c r="D178" t="s">
        <v>216</v>
      </c>
      <c r="E178">
        <v>8987</v>
      </c>
      <c r="G178">
        <v>4644</v>
      </c>
      <c r="H178">
        <v>4343</v>
      </c>
      <c r="I178">
        <v>2793</v>
      </c>
      <c r="J178">
        <v>1421</v>
      </c>
      <c r="K178">
        <v>1372</v>
      </c>
      <c r="L178">
        <v>654</v>
      </c>
      <c r="M178">
        <v>321</v>
      </c>
      <c r="N178">
        <v>333</v>
      </c>
      <c r="O178">
        <v>5269</v>
      </c>
      <c r="P178">
        <v>2752</v>
      </c>
      <c r="Q178">
        <v>2517</v>
      </c>
      <c r="R178">
        <v>43</v>
      </c>
      <c r="S178">
        <v>28</v>
      </c>
      <c r="T178">
        <v>15</v>
      </c>
      <c r="U178">
        <v>228</v>
      </c>
      <c r="V178">
        <v>122</v>
      </c>
      <c r="W178">
        <v>106</v>
      </c>
    </row>
    <row r="179" spans="1:23" hidden="1" x14ac:dyDescent="0.25">
      <c r="A179">
        <v>21</v>
      </c>
      <c r="B179" t="s">
        <v>21</v>
      </c>
      <c r="C179">
        <v>2039</v>
      </c>
      <c r="D179" t="s">
        <v>217</v>
      </c>
      <c r="E179">
        <v>29304</v>
      </c>
      <c r="G179">
        <v>15227</v>
      </c>
      <c r="H179">
        <v>14077</v>
      </c>
      <c r="I179">
        <v>10657</v>
      </c>
      <c r="J179">
        <v>5635</v>
      </c>
      <c r="K179">
        <v>5022</v>
      </c>
      <c r="L179">
        <v>2189</v>
      </c>
      <c r="M179">
        <v>1043</v>
      </c>
      <c r="N179">
        <v>1146</v>
      </c>
      <c r="O179">
        <v>15597</v>
      </c>
      <c r="P179">
        <v>8078</v>
      </c>
      <c r="Q179">
        <v>7519</v>
      </c>
      <c r="R179">
        <v>122</v>
      </c>
      <c r="S179">
        <v>59</v>
      </c>
      <c r="T179">
        <v>63</v>
      </c>
      <c r="U179">
        <v>739</v>
      </c>
      <c r="V179">
        <v>412</v>
      </c>
      <c r="W179">
        <v>327</v>
      </c>
    </row>
    <row r="180" spans="1:23" hidden="1" x14ac:dyDescent="0.25">
      <c r="A180">
        <v>21</v>
      </c>
      <c r="B180" t="s">
        <v>21</v>
      </c>
      <c r="C180">
        <v>2039</v>
      </c>
      <c r="D180" t="s">
        <v>218</v>
      </c>
      <c r="E180">
        <v>22189</v>
      </c>
      <c r="G180">
        <v>11309</v>
      </c>
      <c r="H180">
        <v>10880</v>
      </c>
      <c r="I180">
        <v>9489</v>
      </c>
      <c r="J180">
        <v>4639</v>
      </c>
      <c r="K180">
        <v>4850</v>
      </c>
      <c r="L180">
        <v>1438</v>
      </c>
      <c r="M180">
        <v>754</v>
      </c>
      <c r="N180">
        <v>684</v>
      </c>
      <c r="O180">
        <v>10854</v>
      </c>
      <c r="P180">
        <v>5710</v>
      </c>
      <c r="Q180">
        <v>5144</v>
      </c>
      <c r="R180">
        <v>102</v>
      </c>
      <c r="S180">
        <v>48</v>
      </c>
      <c r="T180">
        <v>54</v>
      </c>
      <c r="U180">
        <v>306</v>
      </c>
      <c r="V180">
        <v>158</v>
      </c>
      <c r="W180">
        <v>148</v>
      </c>
    </row>
    <row r="181" spans="1:23" hidden="1" x14ac:dyDescent="0.25">
      <c r="A181">
        <v>21</v>
      </c>
      <c r="B181" t="s">
        <v>21</v>
      </c>
      <c r="C181">
        <v>2039</v>
      </c>
      <c r="D181" t="s">
        <v>219</v>
      </c>
      <c r="E181">
        <v>22430</v>
      </c>
      <c r="G181">
        <v>10108</v>
      </c>
      <c r="H181">
        <v>12322</v>
      </c>
      <c r="I181">
        <v>14511</v>
      </c>
      <c r="J181">
        <v>6305</v>
      </c>
      <c r="K181">
        <v>8206</v>
      </c>
      <c r="L181">
        <v>1062</v>
      </c>
      <c r="M181">
        <v>560</v>
      </c>
      <c r="N181">
        <v>502</v>
      </c>
      <c r="O181">
        <v>6342</v>
      </c>
      <c r="P181">
        <v>3039</v>
      </c>
      <c r="Q181">
        <v>3303</v>
      </c>
      <c r="R181">
        <v>189</v>
      </c>
      <c r="S181">
        <v>85</v>
      </c>
      <c r="T181">
        <v>104</v>
      </c>
      <c r="U181">
        <v>326</v>
      </c>
      <c r="V181">
        <v>119</v>
      </c>
      <c r="W181">
        <v>207</v>
      </c>
    </row>
    <row r="182" spans="1:23" x14ac:dyDescent="0.25">
      <c r="A182">
        <v>21</v>
      </c>
      <c r="B182" t="s">
        <v>21</v>
      </c>
      <c r="C182">
        <v>2040</v>
      </c>
      <c r="D182" t="s">
        <v>214</v>
      </c>
      <c r="E182">
        <v>112145</v>
      </c>
      <c r="F182" s="244">
        <f>(E182-E176)/E176</f>
        <v>1.108957309651535E-2</v>
      </c>
      <c r="G182">
        <v>55998</v>
      </c>
      <c r="H182">
        <v>56147</v>
      </c>
      <c r="I182">
        <v>45144</v>
      </c>
      <c r="J182">
        <v>21840</v>
      </c>
      <c r="K182">
        <v>23304</v>
      </c>
      <c r="L182">
        <v>7506</v>
      </c>
      <c r="M182">
        <v>3737</v>
      </c>
      <c r="N182">
        <v>3769</v>
      </c>
      <c r="O182">
        <v>56505</v>
      </c>
      <c r="P182">
        <v>28915</v>
      </c>
      <c r="Q182">
        <v>27590</v>
      </c>
      <c r="R182">
        <v>571</v>
      </c>
      <c r="S182">
        <v>283</v>
      </c>
      <c r="T182">
        <v>288</v>
      </c>
      <c r="U182">
        <v>2419</v>
      </c>
      <c r="V182">
        <v>1223</v>
      </c>
      <c r="W182">
        <v>1196</v>
      </c>
    </row>
    <row r="183" spans="1:23" hidden="1" x14ac:dyDescent="0.25">
      <c r="A183">
        <v>21</v>
      </c>
      <c r="B183" t="s">
        <v>21</v>
      </c>
      <c r="C183">
        <v>2040</v>
      </c>
      <c r="D183" t="s">
        <v>215</v>
      </c>
      <c r="E183">
        <v>28354</v>
      </c>
      <c r="G183">
        <v>14309</v>
      </c>
      <c r="H183">
        <v>14045</v>
      </c>
      <c r="I183">
        <v>7842</v>
      </c>
      <c r="J183">
        <v>3919</v>
      </c>
      <c r="K183">
        <v>3923</v>
      </c>
      <c r="L183">
        <v>2107</v>
      </c>
      <c r="M183">
        <v>1049</v>
      </c>
      <c r="N183">
        <v>1058</v>
      </c>
      <c r="O183">
        <v>17484</v>
      </c>
      <c r="P183">
        <v>8871</v>
      </c>
      <c r="Q183">
        <v>8613</v>
      </c>
      <c r="R183">
        <v>116</v>
      </c>
      <c r="S183">
        <v>64</v>
      </c>
      <c r="T183">
        <v>52</v>
      </c>
      <c r="U183">
        <v>805</v>
      </c>
      <c r="V183">
        <v>406</v>
      </c>
      <c r="W183">
        <v>399</v>
      </c>
    </row>
    <row r="184" spans="1:23" hidden="1" x14ac:dyDescent="0.25">
      <c r="A184">
        <v>21</v>
      </c>
      <c r="B184" t="s">
        <v>21</v>
      </c>
      <c r="C184">
        <v>2040</v>
      </c>
      <c r="D184" t="s">
        <v>216</v>
      </c>
      <c r="E184">
        <v>9212</v>
      </c>
      <c r="G184">
        <v>4750</v>
      </c>
      <c r="H184">
        <v>4462</v>
      </c>
      <c r="I184">
        <v>2839</v>
      </c>
      <c r="J184">
        <v>1435</v>
      </c>
      <c r="K184">
        <v>1404</v>
      </c>
      <c r="L184">
        <v>679</v>
      </c>
      <c r="M184">
        <v>331</v>
      </c>
      <c r="N184">
        <v>348</v>
      </c>
      <c r="O184">
        <v>5414</v>
      </c>
      <c r="P184">
        <v>2830</v>
      </c>
      <c r="Q184">
        <v>2584</v>
      </c>
      <c r="R184">
        <v>44</v>
      </c>
      <c r="S184">
        <v>28</v>
      </c>
      <c r="T184">
        <v>16</v>
      </c>
      <c r="U184">
        <v>236</v>
      </c>
      <c r="V184">
        <v>126</v>
      </c>
      <c r="W184">
        <v>110</v>
      </c>
    </row>
    <row r="185" spans="1:23" hidden="1" x14ac:dyDescent="0.25">
      <c r="A185">
        <v>21</v>
      </c>
      <c r="B185" t="s">
        <v>21</v>
      </c>
      <c r="C185">
        <v>2040</v>
      </c>
      <c r="D185" t="s">
        <v>217</v>
      </c>
      <c r="E185">
        <v>29471</v>
      </c>
      <c r="G185">
        <v>15301</v>
      </c>
      <c r="H185">
        <v>14170</v>
      </c>
      <c r="I185">
        <v>10497</v>
      </c>
      <c r="J185">
        <v>5545</v>
      </c>
      <c r="K185">
        <v>4952</v>
      </c>
      <c r="L185">
        <v>2192</v>
      </c>
      <c r="M185">
        <v>1037</v>
      </c>
      <c r="N185">
        <v>1155</v>
      </c>
      <c r="O185">
        <v>15929</v>
      </c>
      <c r="P185">
        <v>8254</v>
      </c>
      <c r="Q185">
        <v>7675</v>
      </c>
      <c r="R185">
        <v>120</v>
      </c>
      <c r="S185">
        <v>59</v>
      </c>
      <c r="T185">
        <v>61</v>
      </c>
      <c r="U185">
        <v>733</v>
      </c>
      <c r="V185">
        <v>406</v>
      </c>
      <c r="W185">
        <v>327</v>
      </c>
    </row>
    <row r="186" spans="1:23" hidden="1" x14ac:dyDescent="0.25">
      <c r="A186">
        <v>21</v>
      </c>
      <c r="B186" t="s">
        <v>21</v>
      </c>
      <c r="C186">
        <v>2040</v>
      </c>
      <c r="D186" t="s">
        <v>218</v>
      </c>
      <c r="E186">
        <v>22607</v>
      </c>
      <c r="G186">
        <v>11527</v>
      </c>
      <c r="H186">
        <v>11080</v>
      </c>
      <c r="I186">
        <v>9655</v>
      </c>
      <c r="J186">
        <v>4741</v>
      </c>
      <c r="K186">
        <v>4914</v>
      </c>
      <c r="L186">
        <v>1484</v>
      </c>
      <c r="M186">
        <v>764</v>
      </c>
      <c r="N186">
        <v>720</v>
      </c>
      <c r="O186">
        <v>11043</v>
      </c>
      <c r="P186">
        <v>5807</v>
      </c>
      <c r="Q186">
        <v>5236</v>
      </c>
      <c r="R186">
        <v>99</v>
      </c>
      <c r="S186">
        <v>45</v>
      </c>
      <c r="T186">
        <v>54</v>
      </c>
      <c r="U186">
        <v>326</v>
      </c>
      <c r="V186">
        <v>170</v>
      </c>
      <c r="W186">
        <v>156</v>
      </c>
    </row>
    <row r="187" spans="1:23" hidden="1" x14ac:dyDescent="0.25">
      <c r="A187">
        <v>21</v>
      </c>
      <c r="B187" t="s">
        <v>21</v>
      </c>
      <c r="C187">
        <v>2040</v>
      </c>
      <c r="D187" t="s">
        <v>219</v>
      </c>
      <c r="E187">
        <v>22501</v>
      </c>
      <c r="G187">
        <v>10111</v>
      </c>
      <c r="H187">
        <v>12390</v>
      </c>
      <c r="I187">
        <v>14311</v>
      </c>
      <c r="J187">
        <v>6200</v>
      </c>
      <c r="K187">
        <v>8111</v>
      </c>
      <c r="L187">
        <v>1044</v>
      </c>
      <c r="M187">
        <v>556</v>
      </c>
      <c r="N187">
        <v>488</v>
      </c>
      <c r="O187">
        <v>6635</v>
      </c>
      <c r="P187">
        <v>3153</v>
      </c>
      <c r="Q187">
        <v>3482</v>
      </c>
      <c r="R187">
        <v>192</v>
      </c>
      <c r="S187">
        <v>87</v>
      </c>
      <c r="T187">
        <v>105</v>
      </c>
      <c r="U187">
        <v>319</v>
      </c>
      <c r="V187">
        <v>115</v>
      </c>
      <c r="W187">
        <v>204</v>
      </c>
    </row>
    <row r="188" spans="1:23" x14ac:dyDescent="0.25">
      <c r="A188">
        <v>21</v>
      </c>
      <c r="B188" t="s">
        <v>21</v>
      </c>
      <c r="C188">
        <v>2041</v>
      </c>
      <c r="D188" t="s">
        <v>214</v>
      </c>
      <c r="E188">
        <v>113389</v>
      </c>
      <c r="F188" s="244">
        <f>(E188-E182)/E182</f>
        <v>1.1092781666592359E-2</v>
      </c>
      <c r="G188">
        <v>56593</v>
      </c>
      <c r="H188">
        <v>56796</v>
      </c>
      <c r="I188">
        <v>44962</v>
      </c>
      <c r="J188">
        <v>21741</v>
      </c>
      <c r="K188">
        <v>23221</v>
      </c>
      <c r="L188">
        <v>7577</v>
      </c>
      <c r="M188">
        <v>3757</v>
      </c>
      <c r="N188">
        <v>3820</v>
      </c>
      <c r="O188">
        <v>57841</v>
      </c>
      <c r="P188">
        <v>29574</v>
      </c>
      <c r="Q188">
        <v>28267</v>
      </c>
      <c r="R188">
        <v>569</v>
      </c>
      <c r="S188">
        <v>285</v>
      </c>
      <c r="T188">
        <v>284</v>
      </c>
      <c r="U188">
        <v>2440</v>
      </c>
      <c r="V188">
        <v>1236</v>
      </c>
      <c r="W188">
        <v>1204</v>
      </c>
    </row>
    <row r="189" spans="1:23" hidden="1" x14ac:dyDescent="0.25">
      <c r="A189">
        <v>21</v>
      </c>
      <c r="B189" t="s">
        <v>21</v>
      </c>
      <c r="C189">
        <v>2041</v>
      </c>
      <c r="D189" t="s">
        <v>215</v>
      </c>
      <c r="E189">
        <v>28671</v>
      </c>
      <c r="G189">
        <v>14474</v>
      </c>
      <c r="H189">
        <v>14197</v>
      </c>
      <c r="I189">
        <v>7805</v>
      </c>
      <c r="J189">
        <v>3902</v>
      </c>
      <c r="K189">
        <v>3903</v>
      </c>
      <c r="L189">
        <v>2122</v>
      </c>
      <c r="M189">
        <v>1057</v>
      </c>
      <c r="N189">
        <v>1065</v>
      </c>
      <c r="O189">
        <v>17816</v>
      </c>
      <c r="P189">
        <v>9042</v>
      </c>
      <c r="Q189">
        <v>8774</v>
      </c>
      <c r="R189">
        <v>116</v>
      </c>
      <c r="S189">
        <v>64</v>
      </c>
      <c r="T189">
        <v>52</v>
      </c>
      <c r="U189">
        <v>812</v>
      </c>
      <c r="V189">
        <v>409</v>
      </c>
      <c r="W189">
        <v>403</v>
      </c>
    </row>
    <row r="190" spans="1:23" hidden="1" x14ac:dyDescent="0.25">
      <c r="A190">
        <v>21</v>
      </c>
      <c r="B190" t="s">
        <v>21</v>
      </c>
      <c r="C190">
        <v>2041</v>
      </c>
      <c r="D190" t="s">
        <v>216</v>
      </c>
      <c r="E190">
        <v>9444</v>
      </c>
      <c r="G190">
        <v>4866</v>
      </c>
      <c r="H190">
        <v>4578</v>
      </c>
      <c r="I190">
        <v>2879</v>
      </c>
      <c r="J190">
        <v>1449</v>
      </c>
      <c r="K190">
        <v>1430</v>
      </c>
      <c r="L190">
        <v>700</v>
      </c>
      <c r="M190">
        <v>342</v>
      </c>
      <c r="N190">
        <v>358</v>
      </c>
      <c r="O190">
        <v>5577</v>
      </c>
      <c r="P190">
        <v>2915</v>
      </c>
      <c r="Q190">
        <v>2662</v>
      </c>
      <c r="R190">
        <v>42</v>
      </c>
      <c r="S190">
        <v>28</v>
      </c>
      <c r="T190">
        <v>14</v>
      </c>
      <c r="U190">
        <v>246</v>
      </c>
      <c r="V190">
        <v>132</v>
      </c>
      <c r="W190">
        <v>114</v>
      </c>
    </row>
    <row r="191" spans="1:23" hidden="1" x14ac:dyDescent="0.25">
      <c r="A191">
        <v>21</v>
      </c>
      <c r="B191" t="s">
        <v>21</v>
      </c>
      <c r="C191">
        <v>2041</v>
      </c>
      <c r="D191" t="s">
        <v>217</v>
      </c>
      <c r="E191">
        <v>29633</v>
      </c>
      <c r="G191">
        <v>15339</v>
      </c>
      <c r="H191">
        <v>14294</v>
      </c>
      <c r="I191">
        <v>10350</v>
      </c>
      <c r="J191">
        <v>5466</v>
      </c>
      <c r="K191">
        <v>4884</v>
      </c>
      <c r="L191">
        <v>2207</v>
      </c>
      <c r="M191">
        <v>1041</v>
      </c>
      <c r="N191">
        <v>1166</v>
      </c>
      <c r="O191">
        <v>16219</v>
      </c>
      <c r="P191">
        <v>8367</v>
      </c>
      <c r="Q191">
        <v>7852</v>
      </c>
      <c r="R191">
        <v>123</v>
      </c>
      <c r="S191">
        <v>61</v>
      </c>
      <c r="T191">
        <v>62</v>
      </c>
      <c r="U191">
        <v>734</v>
      </c>
      <c r="V191">
        <v>404</v>
      </c>
      <c r="W191">
        <v>330</v>
      </c>
    </row>
    <row r="192" spans="1:23" hidden="1" x14ac:dyDescent="0.25">
      <c r="A192">
        <v>21</v>
      </c>
      <c r="B192" t="s">
        <v>21</v>
      </c>
      <c r="C192">
        <v>2041</v>
      </c>
      <c r="D192" t="s">
        <v>218</v>
      </c>
      <c r="E192">
        <v>23124</v>
      </c>
      <c r="G192">
        <v>11816</v>
      </c>
      <c r="H192">
        <v>11308</v>
      </c>
      <c r="I192">
        <v>9821</v>
      </c>
      <c r="J192">
        <v>4846</v>
      </c>
      <c r="K192">
        <v>4975</v>
      </c>
      <c r="L192">
        <v>1519</v>
      </c>
      <c r="M192">
        <v>768</v>
      </c>
      <c r="N192">
        <v>751</v>
      </c>
      <c r="O192">
        <v>11362</v>
      </c>
      <c r="P192">
        <v>5984</v>
      </c>
      <c r="Q192">
        <v>5378</v>
      </c>
      <c r="R192">
        <v>97</v>
      </c>
      <c r="S192">
        <v>44</v>
      </c>
      <c r="T192">
        <v>53</v>
      </c>
      <c r="U192">
        <v>325</v>
      </c>
      <c r="V192">
        <v>174</v>
      </c>
      <c r="W192">
        <v>151</v>
      </c>
    </row>
    <row r="193" spans="1:23" hidden="1" x14ac:dyDescent="0.25">
      <c r="A193">
        <v>21</v>
      </c>
      <c r="B193" t="s">
        <v>21</v>
      </c>
      <c r="C193">
        <v>2041</v>
      </c>
      <c r="D193" t="s">
        <v>219</v>
      </c>
      <c r="E193">
        <v>22517</v>
      </c>
      <c r="G193">
        <v>10098</v>
      </c>
      <c r="H193">
        <v>12419</v>
      </c>
      <c r="I193">
        <v>14107</v>
      </c>
      <c r="J193">
        <v>6078</v>
      </c>
      <c r="K193">
        <v>8029</v>
      </c>
      <c r="L193">
        <v>1029</v>
      </c>
      <c r="M193">
        <v>549</v>
      </c>
      <c r="N193">
        <v>480</v>
      </c>
      <c r="O193">
        <v>6867</v>
      </c>
      <c r="P193">
        <v>3266</v>
      </c>
      <c r="Q193">
        <v>3601</v>
      </c>
      <c r="R193">
        <v>191</v>
      </c>
      <c r="S193">
        <v>88</v>
      </c>
      <c r="T193">
        <v>103</v>
      </c>
      <c r="U193">
        <v>323</v>
      </c>
      <c r="V193">
        <v>117</v>
      </c>
      <c r="W193">
        <v>206</v>
      </c>
    </row>
    <row r="194" spans="1:23" x14ac:dyDescent="0.25">
      <c r="A194">
        <v>21</v>
      </c>
      <c r="B194" t="s">
        <v>21</v>
      </c>
      <c r="C194">
        <v>2042</v>
      </c>
      <c r="D194" t="s">
        <v>214</v>
      </c>
      <c r="E194">
        <v>114639</v>
      </c>
      <c r="F194" s="244">
        <f>(E194-E188)/E188</f>
        <v>1.1023997036749597E-2</v>
      </c>
      <c r="G194">
        <v>57192</v>
      </c>
      <c r="H194">
        <v>57447</v>
      </c>
      <c r="I194">
        <v>44775</v>
      </c>
      <c r="J194">
        <v>21647</v>
      </c>
      <c r="K194">
        <v>23128</v>
      </c>
      <c r="L194">
        <v>7650</v>
      </c>
      <c r="M194">
        <v>3778</v>
      </c>
      <c r="N194">
        <v>3872</v>
      </c>
      <c r="O194">
        <v>59178</v>
      </c>
      <c r="P194">
        <v>30230</v>
      </c>
      <c r="Q194">
        <v>28948</v>
      </c>
      <c r="R194">
        <v>568</v>
      </c>
      <c r="S194">
        <v>284</v>
      </c>
      <c r="T194">
        <v>284</v>
      </c>
      <c r="U194">
        <v>2468</v>
      </c>
      <c r="V194">
        <v>1253</v>
      </c>
      <c r="W194">
        <v>1215</v>
      </c>
    </row>
    <row r="195" spans="1:23" hidden="1" x14ac:dyDescent="0.25">
      <c r="A195">
        <v>21</v>
      </c>
      <c r="B195" t="s">
        <v>21</v>
      </c>
      <c r="C195">
        <v>2042</v>
      </c>
      <c r="D195" t="s">
        <v>215</v>
      </c>
      <c r="E195">
        <v>28964</v>
      </c>
      <c r="G195">
        <v>14625</v>
      </c>
      <c r="H195">
        <v>14339</v>
      </c>
      <c r="I195">
        <v>7760</v>
      </c>
      <c r="J195">
        <v>3881</v>
      </c>
      <c r="K195">
        <v>3879</v>
      </c>
      <c r="L195">
        <v>2139</v>
      </c>
      <c r="M195">
        <v>1066</v>
      </c>
      <c r="N195">
        <v>1073</v>
      </c>
      <c r="O195">
        <v>18132</v>
      </c>
      <c r="P195">
        <v>9203</v>
      </c>
      <c r="Q195">
        <v>8929</v>
      </c>
      <c r="R195">
        <v>117</v>
      </c>
      <c r="S195">
        <v>63</v>
      </c>
      <c r="T195">
        <v>54</v>
      </c>
      <c r="U195">
        <v>816</v>
      </c>
      <c r="V195">
        <v>412</v>
      </c>
      <c r="W195">
        <v>404</v>
      </c>
    </row>
    <row r="196" spans="1:23" hidden="1" x14ac:dyDescent="0.25">
      <c r="A196">
        <v>21</v>
      </c>
      <c r="B196" t="s">
        <v>21</v>
      </c>
      <c r="C196">
        <v>2042</v>
      </c>
      <c r="D196" t="s">
        <v>216</v>
      </c>
      <c r="E196">
        <v>9681</v>
      </c>
      <c r="G196">
        <v>4989</v>
      </c>
      <c r="H196">
        <v>4692</v>
      </c>
      <c r="I196">
        <v>2917</v>
      </c>
      <c r="J196">
        <v>1464</v>
      </c>
      <c r="K196">
        <v>1453</v>
      </c>
      <c r="L196">
        <v>719</v>
      </c>
      <c r="M196">
        <v>353</v>
      </c>
      <c r="N196">
        <v>366</v>
      </c>
      <c r="O196">
        <v>5749</v>
      </c>
      <c r="P196">
        <v>3009</v>
      </c>
      <c r="Q196">
        <v>2740</v>
      </c>
      <c r="R196">
        <v>42</v>
      </c>
      <c r="S196">
        <v>28</v>
      </c>
      <c r="T196">
        <v>14</v>
      </c>
      <c r="U196">
        <v>254</v>
      </c>
      <c r="V196">
        <v>135</v>
      </c>
      <c r="W196">
        <v>119</v>
      </c>
    </row>
    <row r="197" spans="1:23" hidden="1" x14ac:dyDescent="0.25">
      <c r="A197">
        <v>21</v>
      </c>
      <c r="B197" t="s">
        <v>21</v>
      </c>
      <c r="C197">
        <v>2042</v>
      </c>
      <c r="D197" t="s">
        <v>217</v>
      </c>
      <c r="E197">
        <v>29818</v>
      </c>
      <c r="G197">
        <v>15414</v>
      </c>
      <c r="H197">
        <v>14404</v>
      </c>
      <c r="I197">
        <v>10213</v>
      </c>
      <c r="J197">
        <v>5384</v>
      </c>
      <c r="K197">
        <v>4829</v>
      </c>
      <c r="L197">
        <v>2194</v>
      </c>
      <c r="M197">
        <v>1038</v>
      </c>
      <c r="N197">
        <v>1156</v>
      </c>
      <c r="O197">
        <v>16556</v>
      </c>
      <c r="P197">
        <v>8525</v>
      </c>
      <c r="Q197">
        <v>8031</v>
      </c>
      <c r="R197">
        <v>124</v>
      </c>
      <c r="S197">
        <v>64</v>
      </c>
      <c r="T197">
        <v>60</v>
      </c>
      <c r="U197">
        <v>731</v>
      </c>
      <c r="V197">
        <v>403</v>
      </c>
      <c r="W197">
        <v>328</v>
      </c>
    </row>
    <row r="198" spans="1:23" hidden="1" x14ac:dyDescent="0.25">
      <c r="A198">
        <v>21</v>
      </c>
      <c r="B198" t="s">
        <v>21</v>
      </c>
      <c r="C198">
        <v>2042</v>
      </c>
      <c r="D198" t="s">
        <v>218</v>
      </c>
      <c r="E198">
        <v>23607</v>
      </c>
      <c r="G198">
        <v>12082</v>
      </c>
      <c r="H198">
        <v>11525</v>
      </c>
      <c r="I198">
        <v>9980</v>
      </c>
      <c r="J198">
        <v>4952</v>
      </c>
      <c r="K198">
        <v>5028</v>
      </c>
      <c r="L198">
        <v>1600</v>
      </c>
      <c r="M198">
        <v>788</v>
      </c>
      <c r="N198">
        <v>812</v>
      </c>
      <c r="O198">
        <v>11589</v>
      </c>
      <c r="P198">
        <v>6115</v>
      </c>
      <c r="Q198">
        <v>5474</v>
      </c>
      <c r="R198">
        <v>87</v>
      </c>
      <c r="S198">
        <v>39</v>
      </c>
      <c r="T198">
        <v>48</v>
      </c>
      <c r="U198">
        <v>351</v>
      </c>
      <c r="V198">
        <v>188</v>
      </c>
      <c r="W198">
        <v>163</v>
      </c>
    </row>
    <row r="199" spans="1:23" hidden="1" x14ac:dyDescent="0.25">
      <c r="A199">
        <v>21</v>
      </c>
      <c r="B199" t="s">
        <v>21</v>
      </c>
      <c r="C199">
        <v>2042</v>
      </c>
      <c r="D199" t="s">
        <v>219</v>
      </c>
      <c r="E199">
        <v>22569</v>
      </c>
      <c r="G199">
        <v>10082</v>
      </c>
      <c r="H199">
        <v>12487</v>
      </c>
      <c r="I199">
        <v>13905</v>
      </c>
      <c r="J199">
        <v>5966</v>
      </c>
      <c r="K199">
        <v>7939</v>
      </c>
      <c r="L199">
        <v>998</v>
      </c>
      <c r="M199">
        <v>533</v>
      </c>
      <c r="N199">
        <v>465</v>
      </c>
      <c r="O199">
        <v>7152</v>
      </c>
      <c r="P199">
        <v>3378</v>
      </c>
      <c r="Q199">
        <v>3774</v>
      </c>
      <c r="R199">
        <v>198</v>
      </c>
      <c r="S199">
        <v>90</v>
      </c>
      <c r="T199">
        <v>108</v>
      </c>
      <c r="U199">
        <v>316</v>
      </c>
      <c r="V199">
        <v>115</v>
      </c>
      <c r="W199">
        <v>201</v>
      </c>
    </row>
    <row r="200" spans="1:23" x14ac:dyDescent="0.25">
      <c r="A200">
        <v>21</v>
      </c>
      <c r="B200" t="s">
        <v>21</v>
      </c>
      <c r="C200">
        <v>2043</v>
      </c>
      <c r="D200" t="s">
        <v>214</v>
      </c>
      <c r="E200">
        <v>115881</v>
      </c>
      <c r="F200" s="244">
        <f>(E200-E194)/E194</f>
        <v>1.0834009368539503E-2</v>
      </c>
      <c r="G200">
        <v>57791</v>
      </c>
      <c r="H200">
        <v>58090</v>
      </c>
      <c r="I200">
        <v>44584</v>
      </c>
      <c r="J200">
        <v>21561</v>
      </c>
      <c r="K200">
        <v>23023</v>
      </c>
      <c r="L200">
        <v>7724</v>
      </c>
      <c r="M200">
        <v>3799</v>
      </c>
      <c r="N200">
        <v>3925</v>
      </c>
      <c r="O200">
        <v>60510</v>
      </c>
      <c r="P200">
        <v>30876</v>
      </c>
      <c r="Q200">
        <v>29634</v>
      </c>
      <c r="R200">
        <v>570</v>
      </c>
      <c r="S200">
        <v>287</v>
      </c>
      <c r="T200">
        <v>283</v>
      </c>
      <c r="U200">
        <v>2493</v>
      </c>
      <c r="V200">
        <v>1268</v>
      </c>
      <c r="W200">
        <v>1225</v>
      </c>
    </row>
    <row r="201" spans="1:23" hidden="1" x14ac:dyDescent="0.25">
      <c r="A201">
        <v>21</v>
      </c>
      <c r="B201" t="s">
        <v>21</v>
      </c>
      <c r="C201">
        <v>2043</v>
      </c>
      <c r="D201" t="s">
        <v>215</v>
      </c>
      <c r="E201">
        <v>29255</v>
      </c>
      <c r="G201">
        <v>14776</v>
      </c>
      <c r="H201">
        <v>14479</v>
      </c>
      <c r="I201">
        <v>7716</v>
      </c>
      <c r="J201">
        <v>3862</v>
      </c>
      <c r="K201">
        <v>3854</v>
      </c>
      <c r="L201">
        <v>2156</v>
      </c>
      <c r="M201">
        <v>1076</v>
      </c>
      <c r="N201">
        <v>1080</v>
      </c>
      <c r="O201">
        <v>18445</v>
      </c>
      <c r="P201">
        <v>9361</v>
      </c>
      <c r="Q201">
        <v>9084</v>
      </c>
      <c r="R201">
        <v>118</v>
      </c>
      <c r="S201">
        <v>63</v>
      </c>
      <c r="T201">
        <v>55</v>
      </c>
      <c r="U201">
        <v>820</v>
      </c>
      <c r="V201">
        <v>414</v>
      </c>
      <c r="W201">
        <v>406</v>
      </c>
    </row>
    <row r="202" spans="1:23" hidden="1" x14ac:dyDescent="0.25">
      <c r="A202">
        <v>21</v>
      </c>
      <c r="B202" t="s">
        <v>21</v>
      </c>
      <c r="C202">
        <v>2043</v>
      </c>
      <c r="D202" t="s">
        <v>216</v>
      </c>
      <c r="E202">
        <v>9924</v>
      </c>
      <c r="G202">
        <v>5117</v>
      </c>
      <c r="H202">
        <v>4807</v>
      </c>
      <c r="I202">
        <v>2957</v>
      </c>
      <c r="J202">
        <v>1482</v>
      </c>
      <c r="K202">
        <v>1475</v>
      </c>
      <c r="L202">
        <v>732</v>
      </c>
      <c r="M202">
        <v>361</v>
      </c>
      <c r="N202">
        <v>371</v>
      </c>
      <c r="O202">
        <v>5929</v>
      </c>
      <c r="P202">
        <v>3105</v>
      </c>
      <c r="Q202">
        <v>2824</v>
      </c>
      <c r="R202">
        <v>42</v>
      </c>
      <c r="S202">
        <v>28</v>
      </c>
      <c r="T202">
        <v>14</v>
      </c>
      <c r="U202">
        <v>264</v>
      </c>
      <c r="V202">
        <v>141</v>
      </c>
      <c r="W202">
        <v>123</v>
      </c>
    </row>
    <row r="203" spans="1:23" hidden="1" x14ac:dyDescent="0.25">
      <c r="A203">
        <v>21</v>
      </c>
      <c r="B203" t="s">
        <v>21</v>
      </c>
      <c r="C203">
        <v>2043</v>
      </c>
      <c r="D203" t="s">
        <v>217</v>
      </c>
      <c r="E203">
        <v>29968</v>
      </c>
      <c r="G203">
        <v>15472</v>
      </c>
      <c r="H203">
        <v>14496</v>
      </c>
      <c r="I203">
        <v>10085</v>
      </c>
      <c r="J203">
        <v>5323</v>
      </c>
      <c r="K203">
        <v>4762</v>
      </c>
      <c r="L203">
        <v>2203</v>
      </c>
      <c r="M203">
        <v>1043</v>
      </c>
      <c r="N203">
        <v>1160</v>
      </c>
      <c r="O203">
        <v>16833</v>
      </c>
      <c r="P203">
        <v>8638</v>
      </c>
      <c r="Q203">
        <v>8195</v>
      </c>
      <c r="R203">
        <v>120</v>
      </c>
      <c r="S203">
        <v>64</v>
      </c>
      <c r="T203">
        <v>56</v>
      </c>
      <c r="U203">
        <v>727</v>
      </c>
      <c r="V203">
        <v>404</v>
      </c>
      <c r="W203">
        <v>323</v>
      </c>
    </row>
    <row r="204" spans="1:23" hidden="1" x14ac:dyDescent="0.25">
      <c r="A204">
        <v>21</v>
      </c>
      <c r="B204" t="s">
        <v>21</v>
      </c>
      <c r="C204">
        <v>2043</v>
      </c>
      <c r="D204" t="s">
        <v>218</v>
      </c>
      <c r="E204">
        <v>24202</v>
      </c>
      <c r="G204">
        <v>12345</v>
      </c>
      <c r="H204">
        <v>11857</v>
      </c>
      <c r="I204">
        <v>10160</v>
      </c>
      <c r="J204">
        <v>5040</v>
      </c>
      <c r="K204">
        <v>5120</v>
      </c>
      <c r="L204">
        <v>1662</v>
      </c>
      <c r="M204">
        <v>797</v>
      </c>
      <c r="N204">
        <v>865</v>
      </c>
      <c r="O204">
        <v>11920</v>
      </c>
      <c r="P204">
        <v>6272</v>
      </c>
      <c r="Q204">
        <v>5648</v>
      </c>
      <c r="R204">
        <v>90</v>
      </c>
      <c r="S204">
        <v>42</v>
      </c>
      <c r="T204">
        <v>48</v>
      </c>
      <c r="U204">
        <v>370</v>
      </c>
      <c r="V204">
        <v>194</v>
      </c>
      <c r="W204">
        <v>176</v>
      </c>
    </row>
    <row r="205" spans="1:23" hidden="1" x14ac:dyDescent="0.25">
      <c r="A205">
        <v>21</v>
      </c>
      <c r="B205" t="s">
        <v>21</v>
      </c>
      <c r="C205">
        <v>2043</v>
      </c>
      <c r="D205" t="s">
        <v>219</v>
      </c>
      <c r="E205">
        <v>22532</v>
      </c>
      <c r="G205">
        <v>10081</v>
      </c>
      <c r="H205">
        <v>12451</v>
      </c>
      <c r="I205">
        <v>13666</v>
      </c>
      <c r="J205">
        <v>5854</v>
      </c>
      <c r="K205">
        <v>7812</v>
      </c>
      <c r="L205">
        <v>971</v>
      </c>
      <c r="M205">
        <v>522</v>
      </c>
      <c r="N205">
        <v>449</v>
      </c>
      <c r="O205">
        <v>7383</v>
      </c>
      <c r="P205">
        <v>3500</v>
      </c>
      <c r="Q205">
        <v>3883</v>
      </c>
      <c r="R205">
        <v>200</v>
      </c>
      <c r="S205">
        <v>90</v>
      </c>
      <c r="T205">
        <v>110</v>
      </c>
      <c r="U205">
        <v>312</v>
      </c>
      <c r="V205">
        <v>115</v>
      </c>
      <c r="W205">
        <v>197</v>
      </c>
    </row>
    <row r="206" spans="1:23" x14ac:dyDescent="0.25">
      <c r="A206">
        <v>21</v>
      </c>
      <c r="B206" t="s">
        <v>21</v>
      </c>
      <c r="C206">
        <v>2044</v>
      </c>
      <c r="D206" t="s">
        <v>214</v>
      </c>
      <c r="E206">
        <v>117120</v>
      </c>
      <c r="F206" s="244">
        <f>(E206-E200)/E200</f>
        <v>1.0692003003080746E-2</v>
      </c>
      <c r="G206">
        <v>58394</v>
      </c>
      <c r="H206">
        <v>58726</v>
      </c>
      <c r="I206">
        <v>44380</v>
      </c>
      <c r="J206">
        <v>21461</v>
      </c>
      <c r="K206">
        <v>22919</v>
      </c>
      <c r="L206">
        <v>7786</v>
      </c>
      <c r="M206">
        <v>3818</v>
      </c>
      <c r="N206">
        <v>3968</v>
      </c>
      <c r="O206">
        <v>61868</v>
      </c>
      <c r="P206">
        <v>31545</v>
      </c>
      <c r="Q206">
        <v>30323</v>
      </c>
      <c r="R206">
        <v>568</v>
      </c>
      <c r="S206">
        <v>287</v>
      </c>
      <c r="T206">
        <v>281</v>
      </c>
      <c r="U206">
        <v>2518</v>
      </c>
      <c r="V206">
        <v>1283</v>
      </c>
      <c r="W206">
        <v>1235</v>
      </c>
    </row>
    <row r="207" spans="1:23" hidden="1" x14ac:dyDescent="0.25">
      <c r="A207">
        <v>21</v>
      </c>
      <c r="B207" t="s">
        <v>21</v>
      </c>
      <c r="C207">
        <v>2044</v>
      </c>
      <c r="D207" t="s">
        <v>215</v>
      </c>
      <c r="E207">
        <v>29536</v>
      </c>
      <c r="G207">
        <v>14926</v>
      </c>
      <c r="H207">
        <v>14610</v>
      </c>
      <c r="I207">
        <v>7666</v>
      </c>
      <c r="J207">
        <v>3839</v>
      </c>
      <c r="K207">
        <v>3827</v>
      </c>
      <c r="L207">
        <v>2175</v>
      </c>
      <c r="M207">
        <v>1088</v>
      </c>
      <c r="N207">
        <v>1087</v>
      </c>
      <c r="O207">
        <v>18753</v>
      </c>
      <c r="P207">
        <v>9520</v>
      </c>
      <c r="Q207">
        <v>9233</v>
      </c>
      <c r="R207">
        <v>118</v>
      </c>
      <c r="S207">
        <v>63</v>
      </c>
      <c r="T207">
        <v>55</v>
      </c>
      <c r="U207">
        <v>824</v>
      </c>
      <c r="V207">
        <v>416</v>
      </c>
      <c r="W207">
        <v>408</v>
      </c>
    </row>
    <row r="208" spans="1:23" hidden="1" x14ac:dyDescent="0.25">
      <c r="A208">
        <v>21</v>
      </c>
      <c r="B208" t="s">
        <v>21</v>
      </c>
      <c r="C208">
        <v>2044</v>
      </c>
      <c r="D208" t="s">
        <v>216</v>
      </c>
      <c r="E208">
        <v>10152</v>
      </c>
      <c r="G208">
        <v>5231</v>
      </c>
      <c r="H208">
        <v>4921</v>
      </c>
      <c r="I208">
        <v>2990</v>
      </c>
      <c r="J208">
        <v>1495</v>
      </c>
      <c r="K208">
        <v>1495</v>
      </c>
      <c r="L208">
        <v>739</v>
      </c>
      <c r="M208">
        <v>365</v>
      </c>
      <c r="N208">
        <v>374</v>
      </c>
      <c r="O208">
        <v>6106</v>
      </c>
      <c r="P208">
        <v>3198</v>
      </c>
      <c r="Q208">
        <v>2908</v>
      </c>
      <c r="R208">
        <v>44</v>
      </c>
      <c r="S208">
        <v>28</v>
      </c>
      <c r="T208">
        <v>16</v>
      </c>
      <c r="U208">
        <v>273</v>
      </c>
      <c r="V208">
        <v>145</v>
      </c>
      <c r="W208">
        <v>128</v>
      </c>
    </row>
    <row r="209" spans="1:23" hidden="1" x14ac:dyDescent="0.25">
      <c r="A209">
        <v>21</v>
      </c>
      <c r="B209" t="s">
        <v>21</v>
      </c>
      <c r="C209">
        <v>2044</v>
      </c>
      <c r="D209" t="s">
        <v>217</v>
      </c>
      <c r="E209">
        <v>30085</v>
      </c>
      <c r="G209">
        <v>15495</v>
      </c>
      <c r="H209">
        <v>14590</v>
      </c>
      <c r="I209">
        <v>9941</v>
      </c>
      <c r="J209">
        <v>5231</v>
      </c>
      <c r="K209">
        <v>4710</v>
      </c>
      <c r="L209">
        <v>2237</v>
      </c>
      <c r="M209">
        <v>1059</v>
      </c>
      <c r="N209">
        <v>1178</v>
      </c>
      <c r="O209">
        <v>17057</v>
      </c>
      <c r="P209">
        <v>8731</v>
      </c>
      <c r="Q209">
        <v>8326</v>
      </c>
      <c r="R209">
        <v>121</v>
      </c>
      <c r="S209">
        <v>65</v>
      </c>
      <c r="T209">
        <v>56</v>
      </c>
      <c r="U209">
        <v>729</v>
      </c>
      <c r="V209">
        <v>409</v>
      </c>
      <c r="W209">
        <v>320</v>
      </c>
    </row>
    <row r="210" spans="1:23" hidden="1" x14ac:dyDescent="0.25">
      <c r="A210">
        <v>21</v>
      </c>
      <c r="B210" t="s">
        <v>21</v>
      </c>
      <c r="C210">
        <v>2044</v>
      </c>
      <c r="D210" t="s">
        <v>218</v>
      </c>
      <c r="E210">
        <v>24759</v>
      </c>
      <c r="G210">
        <v>12655</v>
      </c>
      <c r="H210">
        <v>12104</v>
      </c>
      <c r="I210">
        <v>10299</v>
      </c>
      <c r="J210">
        <v>5161</v>
      </c>
      <c r="K210">
        <v>5138</v>
      </c>
      <c r="L210">
        <v>1696</v>
      </c>
      <c r="M210">
        <v>799</v>
      </c>
      <c r="N210">
        <v>897</v>
      </c>
      <c r="O210">
        <v>12294</v>
      </c>
      <c r="P210">
        <v>6455</v>
      </c>
      <c r="Q210">
        <v>5839</v>
      </c>
      <c r="R210">
        <v>87</v>
      </c>
      <c r="S210">
        <v>42</v>
      </c>
      <c r="T210">
        <v>45</v>
      </c>
      <c r="U210">
        <v>383</v>
      </c>
      <c r="V210">
        <v>198</v>
      </c>
      <c r="W210">
        <v>185</v>
      </c>
    </row>
    <row r="211" spans="1:23" hidden="1" x14ac:dyDescent="0.25">
      <c r="A211">
        <v>21</v>
      </c>
      <c r="B211" t="s">
        <v>21</v>
      </c>
      <c r="C211">
        <v>2044</v>
      </c>
      <c r="D211" t="s">
        <v>219</v>
      </c>
      <c r="E211">
        <v>22588</v>
      </c>
      <c r="G211">
        <v>10087</v>
      </c>
      <c r="H211">
        <v>12501</v>
      </c>
      <c r="I211">
        <v>13484</v>
      </c>
      <c r="J211">
        <v>5735</v>
      </c>
      <c r="K211">
        <v>7749</v>
      </c>
      <c r="L211">
        <v>939</v>
      </c>
      <c r="M211">
        <v>507</v>
      </c>
      <c r="N211">
        <v>432</v>
      </c>
      <c r="O211">
        <v>7658</v>
      </c>
      <c r="P211">
        <v>3641</v>
      </c>
      <c r="Q211">
        <v>4017</v>
      </c>
      <c r="R211">
        <v>198</v>
      </c>
      <c r="S211">
        <v>89</v>
      </c>
      <c r="T211">
        <v>109</v>
      </c>
      <c r="U211">
        <v>309</v>
      </c>
      <c r="V211">
        <v>115</v>
      </c>
      <c r="W211">
        <v>194</v>
      </c>
    </row>
    <row r="212" spans="1:23" x14ac:dyDescent="0.25">
      <c r="A212">
        <v>21</v>
      </c>
      <c r="B212" t="s">
        <v>21</v>
      </c>
      <c r="C212">
        <v>2045</v>
      </c>
      <c r="D212" t="s">
        <v>214</v>
      </c>
      <c r="E212">
        <v>118395</v>
      </c>
      <c r="F212" s="244">
        <f>(E212-E206)/E206</f>
        <v>1.0886270491803279E-2</v>
      </c>
      <c r="G212">
        <v>58998</v>
      </c>
      <c r="H212">
        <v>59397</v>
      </c>
      <c r="I212">
        <v>44188</v>
      </c>
      <c r="J212">
        <v>21365</v>
      </c>
      <c r="K212">
        <v>22823</v>
      </c>
      <c r="L212">
        <v>7863</v>
      </c>
      <c r="M212">
        <v>3840</v>
      </c>
      <c r="N212">
        <v>4023</v>
      </c>
      <c r="O212">
        <v>63238</v>
      </c>
      <c r="P212">
        <v>32213</v>
      </c>
      <c r="Q212">
        <v>31025</v>
      </c>
      <c r="R212">
        <v>569</v>
      </c>
      <c r="S212">
        <v>288</v>
      </c>
      <c r="T212">
        <v>281</v>
      </c>
      <c r="U212">
        <v>2537</v>
      </c>
      <c r="V212">
        <v>1292</v>
      </c>
      <c r="W212">
        <v>1245</v>
      </c>
    </row>
    <row r="213" spans="1:23" hidden="1" x14ac:dyDescent="0.25">
      <c r="A213">
        <v>21</v>
      </c>
      <c r="B213" t="s">
        <v>21</v>
      </c>
      <c r="C213">
        <v>2045</v>
      </c>
      <c r="D213" t="s">
        <v>215</v>
      </c>
      <c r="E213">
        <v>29795</v>
      </c>
      <c r="G213">
        <v>15060</v>
      </c>
      <c r="H213">
        <v>14735</v>
      </c>
      <c r="I213">
        <v>7615</v>
      </c>
      <c r="J213">
        <v>3813</v>
      </c>
      <c r="K213">
        <v>3802</v>
      </c>
      <c r="L213">
        <v>2192</v>
      </c>
      <c r="M213">
        <v>1097</v>
      </c>
      <c r="N213">
        <v>1095</v>
      </c>
      <c r="O213">
        <v>19045</v>
      </c>
      <c r="P213">
        <v>9670</v>
      </c>
      <c r="Q213">
        <v>9375</v>
      </c>
      <c r="R213">
        <v>119</v>
      </c>
      <c r="S213">
        <v>64</v>
      </c>
      <c r="T213">
        <v>55</v>
      </c>
      <c r="U213">
        <v>824</v>
      </c>
      <c r="V213">
        <v>416</v>
      </c>
      <c r="W213">
        <v>408</v>
      </c>
    </row>
    <row r="214" spans="1:23" hidden="1" x14ac:dyDescent="0.25">
      <c r="A214">
        <v>21</v>
      </c>
      <c r="B214" t="s">
        <v>21</v>
      </c>
      <c r="C214">
        <v>2045</v>
      </c>
      <c r="D214" t="s">
        <v>216</v>
      </c>
      <c r="E214">
        <v>10382</v>
      </c>
      <c r="G214">
        <v>5347</v>
      </c>
      <c r="H214">
        <v>5035</v>
      </c>
      <c r="I214">
        <v>3019</v>
      </c>
      <c r="J214">
        <v>1508</v>
      </c>
      <c r="K214">
        <v>1511</v>
      </c>
      <c r="L214">
        <v>748</v>
      </c>
      <c r="M214">
        <v>371</v>
      </c>
      <c r="N214">
        <v>377</v>
      </c>
      <c r="O214">
        <v>6291</v>
      </c>
      <c r="P214">
        <v>3293</v>
      </c>
      <c r="Q214">
        <v>2998</v>
      </c>
      <c r="R214">
        <v>45</v>
      </c>
      <c r="S214">
        <v>28</v>
      </c>
      <c r="T214">
        <v>17</v>
      </c>
      <c r="U214">
        <v>279</v>
      </c>
      <c r="V214">
        <v>147</v>
      </c>
      <c r="W214">
        <v>132</v>
      </c>
    </row>
    <row r="215" spans="1:23" hidden="1" x14ac:dyDescent="0.25">
      <c r="A215">
        <v>21</v>
      </c>
      <c r="B215" t="s">
        <v>21</v>
      </c>
      <c r="C215">
        <v>2045</v>
      </c>
      <c r="D215" t="s">
        <v>217</v>
      </c>
      <c r="E215">
        <v>30218</v>
      </c>
      <c r="G215">
        <v>15489</v>
      </c>
      <c r="H215">
        <v>14729</v>
      </c>
      <c r="I215">
        <v>9820</v>
      </c>
      <c r="J215">
        <v>5143</v>
      </c>
      <c r="K215">
        <v>4677</v>
      </c>
      <c r="L215">
        <v>2272</v>
      </c>
      <c r="M215">
        <v>1074</v>
      </c>
      <c r="N215">
        <v>1198</v>
      </c>
      <c r="O215">
        <v>17280</v>
      </c>
      <c r="P215">
        <v>8802</v>
      </c>
      <c r="Q215">
        <v>8478</v>
      </c>
      <c r="R215">
        <v>116</v>
      </c>
      <c r="S215">
        <v>61</v>
      </c>
      <c r="T215">
        <v>55</v>
      </c>
      <c r="U215">
        <v>730</v>
      </c>
      <c r="V215">
        <v>409</v>
      </c>
      <c r="W215">
        <v>321</v>
      </c>
    </row>
    <row r="216" spans="1:23" hidden="1" x14ac:dyDescent="0.25">
      <c r="A216">
        <v>21</v>
      </c>
      <c r="B216" t="s">
        <v>21</v>
      </c>
      <c r="C216">
        <v>2045</v>
      </c>
      <c r="D216" t="s">
        <v>218</v>
      </c>
      <c r="E216">
        <v>25388</v>
      </c>
      <c r="G216">
        <v>13026</v>
      </c>
      <c r="H216">
        <v>12362</v>
      </c>
      <c r="I216">
        <v>10467</v>
      </c>
      <c r="J216">
        <v>5264</v>
      </c>
      <c r="K216">
        <v>5203</v>
      </c>
      <c r="L216">
        <v>1735</v>
      </c>
      <c r="M216">
        <v>798</v>
      </c>
      <c r="N216">
        <v>937</v>
      </c>
      <c r="O216">
        <v>12695</v>
      </c>
      <c r="P216">
        <v>6708</v>
      </c>
      <c r="Q216">
        <v>5987</v>
      </c>
      <c r="R216">
        <v>95</v>
      </c>
      <c r="S216">
        <v>49</v>
      </c>
      <c r="T216">
        <v>46</v>
      </c>
      <c r="U216">
        <v>396</v>
      </c>
      <c r="V216">
        <v>207</v>
      </c>
      <c r="W216">
        <v>189</v>
      </c>
    </row>
    <row r="217" spans="1:23" hidden="1" x14ac:dyDescent="0.25">
      <c r="A217">
        <v>21</v>
      </c>
      <c r="B217" t="s">
        <v>21</v>
      </c>
      <c r="C217">
        <v>2045</v>
      </c>
      <c r="D217" t="s">
        <v>219</v>
      </c>
      <c r="E217">
        <v>22612</v>
      </c>
      <c r="G217">
        <v>10076</v>
      </c>
      <c r="H217">
        <v>12536</v>
      </c>
      <c r="I217">
        <v>13267</v>
      </c>
      <c r="J217">
        <v>5637</v>
      </c>
      <c r="K217">
        <v>7630</v>
      </c>
      <c r="L217">
        <v>916</v>
      </c>
      <c r="M217">
        <v>500</v>
      </c>
      <c r="N217">
        <v>416</v>
      </c>
      <c r="O217">
        <v>7927</v>
      </c>
      <c r="P217">
        <v>3740</v>
      </c>
      <c r="Q217">
        <v>4187</v>
      </c>
      <c r="R217">
        <v>194</v>
      </c>
      <c r="S217">
        <v>86</v>
      </c>
      <c r="T217">
        <v>108</v>
      </c>
      <c r="U217">
        <v>308</v>
      </c>
      <c r="V217">
        <v>113</v>
      </c>
      <c r="W217">
        <v>195</v>
      </c>
    </row>
    <row r="218" spans="1:23" x14ac:dyDescent="0.25">
      <c r="A218">
        <v>21</v>
      </c>
      <c r="B218" t="s">
        <v>21</v>
      </c>
      <c r="C218">
        <v>2046</v>
      </c>
      <c r="D218" t="s">
        <v>214</v>
      </c>
      <c r="E218">
        <v>119679</v>
      </c>
      <c r="F218" s="244">
        <f>(E218-E212)/E212</f>
        <v>1.0845052578233878E-2</v>
      </c>
      <c r="G218">
        <v>59610</v>
      </c>
      <c r="H218">
        <v>60069</v>
      </c>
      <c r="I218">
        <v>43991</v>
      </c>
      <c r="J218">
        <v>21269</v>
      </c>
      <c r="K218">
        <v>22722</v>
      </c>
      <c r="L218">
        <v>7944</v>
      </c>
      <c r="M218">
        <v>3860</v>
      </c>
      <c r="N218">
        <v>4084</v>
      </c>
      <c r="O218">
        <v>64609</v>
      </c>
      <c r="P218">
        <v>32885</v>
      </c>
      <c r="Q218">
        <v>31724</v>
      </c>
      <c r="R218">
        <v>570</v>
      </c>
      <c r="S218">
        <v>291</v>
      </c>
      <c r="T218">
        <v>279</v>
      </c>
      <c r="U218">
        <v>2565</v>
      </c>
      <c r="V218">
        <v>1305</v>
      </c>
      <c r="W218">
        <v>1260</v>
      </c>
    </row>
    <row r="219" spans="1:23" hidden="1" x14ac:dyDescent="0.25">
      <c r="A219">
        <v>21</v>
      </c>
      <c r="B219" t="s">
        <v>21</v>
      </c>
      <c r="C219">
        <v>2046</v>
      </c>
      <c r="D219" t="s">
        <v>215</v>
      </c>
      <c r="E219">
        <v>30046</v>
      </c>
      <c r="G219">
        <v>15188</v>
      </c>
      <c r="H219">
        <v>14858</v>
      </c>
      <c r="I219">
        <v>7565</v>
      </c>
      <c r="J219">
        <v>3790</v>
      </c>
      <c r="K219">
        <v>3775</v>
      </c>
      <c r="L219">
        <v>2208</v>
      </c>
      <c r="M219">
        <v>1103</v>
      </c>
      <c r="N219">
        <v>1105</v>
      </c>
      <c r="O219">
        <v>19325</v>
      </c>
      <c r="P219">
        <v>9812</v>
      </c>
      <c r="Q219">
        <v>9513</v>
      </c>
      <c r="R219">
        <v>117</v>
      </c>
      <c r="S219">
        <v>63</v>
      </c>
      <c r="T219">
        <v>54</v>
      </c>
      <c r="U219">
        <v>831</v>
      </c>
      <c r="V219">
        <v>420</v>
      </c>
      <c r="W219">
        <v>411</v>
      </c>
    </row>
    <row r="220" spans="1:23" hidden="1" x14ac:dyDescent="0.25">
      <c r="A220">
        <v>21</v>
      </c>
      <c r="B220" t="s">
        <v>21</v>
      </c>
      <c r="C220">
        <v>2046</v>
      </c>
      <c r="D220" t="s">
        <v>216</v>
      </c>
      <c r="E220">
        <v>10605</v>
      </c>
      <c r="G220">
        <v>5466</v>
      </c>
      <c r="H220">
        <v>5139</v>
      </c>
      <c r="I220">
        <v>3042</v>
      </c>
      <c r="J220">
        <v>1519</v>
      </c>
      <c r="K220">
        <v>1523</v>
      </c>
      <c r="L220">
        <v>756</v>
      </c>
      <c r="M220">
        <v>377</v>
      </c>
      <c r="N220">
        <v>379</v>
      </c>
      <c r="O220">
        <v>6473</v>
      </c>
      <c r="P220">
        <v>3390</v>
      </c>
      <c r="Q220">
        <v>3083</v>
      </c>
      <c r="R220">
        <v>46</v>
      </c>
      <c r="S220">
        <v>28</v>
      </c>
      <c r="T220">
        <v>18</v>
      </c>
      <c r="U220">
        <v>288</v>
      </c>
      <c r="V220">
        <v>152</v>
      </c>
      <c r="W220">
        <v>136</v>
      </c>
    </row>
    <row r="221" spans="1:23" hidden="1" x14ac:dyDescent="0.25">
      <c r="A221">
        <v>21</v>
      </c>
      <c r="B221" t="s">
        <v>21</v>
      </c>
      <c r="C221">
        <v>2046</v>
      </c>
      <c r="D221" t="s">
        <v>217</v>
      </c>
      <c r="E221">
        <v>30438</v>
      </c>
      <c r="G221">
        <v>15577</v>
      </c>
      <c r="H221">
        <v>14861</v>
      </c>
      <c r="I221">
        <v>9744</v>
      </c>
      <c r="J221">
        <v>5084</v>
      </c>
      <c r="K221">
        <v>4660</v>
      </c>
      <c r="L221">
        <v>2316</v>
      </c>
      <c r="M221">
        <v>1090</v>
      </c>
      <c r="N221">
        <v>1226</v>
      </c>
      <c r="O221">
        <v>17532</v>
      </c>
      <c r="P221">
        <v>8929</v>
      </c>
      <c r="Q221">
        <v>8603</v>
      </c>
      <c r="R221">
        <v>114</v>
      </c>
      <c r="S221">
        <v>61</v>
      </c>
      <c r="T221">
        <v>53</v>
      </c>
      <c r="U221">
        <v>732</v>
      </c>
      <c r="V221">
        <v>413</v>
      </c>
      <c r="W221">
        <v>319</v>
      </c>
    </row>
    <row r="222" spans="1:23" hidden="1" x14ac:dyDescent="0.25">
      <c r="A222">
        <v>21</v>
      </c>
      <c r="B222" t="s">
        <v>21</v>
      </c>
      <c r="C222">
        <v>2046</v>
      </c>
      <c r="D222" t="s">
        <v>218</v>
      </c>
      <c r="E222">
        <v>25927</v>
      </c>
      <c r="G222">
        <v>13289</v>
      </c>
      <c r="H222">
        <v>12638</v>
      </c>
      <c r="I222">
        <v>10593</v>
      </c>
      <c r="J222">
        <v>5346</v>
      </c>
      <c r="K222">
        <v>5247</v>
      </c>
      <c r="L222">
        <v>1750</v>
      </c>
      <c r="M222">
        <v>790</v>
      </c>
      <c r="N222">
        <v>960</v>
      </c>
      <c r="O222">
        <v>13072</v>
      </c>
      <c r="P222">
        <v>6890</v>
      </c>
      <c r="Q222">
        <v>6182</v>
      </c>
      <c r="R222">
        <v>100</v>
      </c>
      <c r="S222">
        <v>53</v>
      </c>
      <c r="T222">
        <v>47</v>
      </c>
      <c r="U222">
        <v>412</v>
      </c>
      <c r="V222">
        <v>210</v>
      </c>
      <c r="W222">
        <v>202</v>
      </c>
    </row>
    <row r="223" spans="1:23" hidden="1" x14ac:dyDescent="0.25">
      <c r="A223">
        <v>21</v>
      </c>
      <c r="B223" t="s">
        <v>21</v>
      </c>
      <c r="C223">
        <v>2046</v>
      </c>
      <c r="D223" t="s">
        <v>219</v>
      </c>
      <c r="E223">
        <v>22663</v>
      </c>
      <c r="G223">
        <v>10090</v>
      </c>
      <c r="H223">
        <v>12573</v>
      </c>
      <c r="I223">
        <v>13047</v>
      </c>
      <c r="J223">
        <v>5530</v>
      </c>
      <c r="K223">
        <v>7517</v>
      </c>
      <c r="L223">
        <v>914</v>
      </c>
      <c r="M223">
        <v>500</v>
      </c>
      <c r="N223">
        <v>414</v>
      </c>
      <c r="O223">
        <v>8207</v>
      </c>
      <c r="P223">
        <v>3864</v>
      </c>
      <c r="Q223">
        <v>4343</v>
      </c>
      <c r="R223">
        <v>193</v>
      </c>
      <c r="S223">
        <v>86</v>
      </c>
      <c r="T223">
        <v>107</v>
      </c>
      <c r="U223">
        <v>302</v>
      </c>
      <c r="V223">
        <v>110</v>
      </c>
      <c r="W223">
        <v>192</v>
      </c>
    </row>
    <row r="224" spans="1:23" x14ac:dyDescent="0.25">
      <c r="A224">
        <v>21</v>
      </c>
      <c r="B224" t="s">
        <v>21</v>
      </c>
      <c r="C224">
        <v>2047</v>
      </c>
      <c r="D224" t="s">
        <v>214</v>
      </c>
      <c r="E224">
        <v>120952</v>
      </c>
      <c r="F224" s="244">
        <f>(E224-E218)/E218</f>
        <v>1.0636786737857101E-2</v>
      </c>
      <c r="G224">
        <v>60224</v>
      </c>
      <c r="H224">
        <v>60728</v>
      </c>
      <c r="I224">
        <v>43790</v>
      </c>
      <c r="J224">
        <v>21178</v>
      </c>
      <c r="K224">
        <v>22612</v>
      </c>
      <c r="L224">
        <v>8026</v>
      </c>
      <c r="M224">
        <v>3889</v>
      </c>
      <c r="N224">
        <v>4137</v>
      </c>
      <c r="O224">
        <v>65980</v>
      </c>
      <c r="P224">
        <v>33549</v>
      </c>
      <c r="Q224">
        <v>32431</v>
      </c>
      <c r="R224">
        <v>568</v>
      </c>
      <c r="S224">
        <v>290</v>
      </c>
      <c r="T224">
        <v>278</v>
      </c>
      <c r="U224">
        <v>2588</v>
      </c>
      <c r="V224">
        <v>1318</v>
      </c>
      <c r="W224">
        <v>1270</v>
      </c>
    </row>
    <row r="225" spans="1:23" hidden="1" x14ac:dyDescent="0.25">
      <c r="A225">
        <v>21</v>
      </c>
      <c r="B225" t="s">
        <v>21</v>
      </c>
      <c r="C225">
        <v>2047</v>
      </c>
      <c r="D225" t="s">
        <v>215</v>
      </c>
      <c r="E225">
        <v>30288</v>
      </c>
      <c r="G225">
        <v>15315</v>
      </c>
      <c r="H225">
        <v>14973</v>
      </c>
      <c r="I225">
        <v>7516</v>
      </c>
      <c r="J225">
        <v>3768</v>
      </c>
      <c r="K225">
        <v>3748</v>
      </c>
      <c r="L225">
        <v>2226</v>
      </c>
      <c r="M225">
        <v>1113</v>
      </c>
      <c r="N225">
        <v>1113</v>
      </c>
      <c r="O225">
        <v>19597</v>
      </c>
      <c r="P225">
        <v>9950</v>
      </c>
      <c r="Q225">
        <v>9647</v>
      </c>
      <c r="R225">
        <v>117</v>
      </c>
      <c r="S225">
        <v>63</v>
      </c>
      <c r="T225">
        <v>54</v>
      </c>
      <c r="U225">
        <v>832</v>
      </c>
      <c r="V225">
        <v>421</v>
      </c>
      <c r="W225">
        <v>411</v>
      </c>
    </row>
    <row r="226" spans="1:23" hidden="1" x14ac:dyDescent="0.25">
      <c r="A226">
        <v>21</v>
      </c>
      <c r="B226" t="s">
        <v>21</v>
      </c>
      <c r="C226">
        <v>2047</v>
      </c>
      <c r="D226" t="s">
        <v>216</v>
      </c>
      <c r="E226">
        <v>10821</v>
      </c>
      <c r="G226">
        <v>5574</v>
      </c>
      <c r="H226">
        <v>5247</v>
      </c>
      <c r="I226">
        <v>3058</v>
      </c>
      <c r="J226">
        <v>1527</v>
      </c>
      <c r="K226">
        <v>1531</v>
      </c>
      <c r="L226">
        <v>763</v>
      </c>
      <c r="M226">
        <v>381</v>
      </c>
      <c r="N226">
        <v>382</v>
      </c>
      <c r="O226">
        <v>6656</v>
      </c>
      <c r="P226">
        <v>3482</v>
      </c>
      <c r="Q226">
        <v>3174</v>
      </c>
      <c r="R226">
        <v>47</v>
      </c>
      <c r="S226">
        <v>28</v>
      </c>
      <c r="T226">
        <v>19</v>
      </c>
      <c r="U226">
        <v>297</v>
      </c>
      <c r="V226">
        <v>156</v>
      </c>
      <c r="W226">
        <v>141</v>
      </c>
    </row>
    <row r="227" spans="1:23" hidden="1" x14ac:dyDescent="0.25">
      <c r="A227">
        <v>21</v>
      </c>
      <c r="B227" t="s">
        <v>21</v>
      </c>
      <c r="C227">
        <v>2047</v>
      </c>
      <c r="D227" t="s">
        <v>217</v>
      </c>
      <c r="E227">
        <v>30647</v>
      </c>
      <c r="G227">
        <v>15636</v>
      </c>
      <c r="H227">
        <v>15011</v>
      </c>
      <c r="I227">
        <v>9652</v>
      </c>
      <c r="J227">
        <v>5005</v>
      </c>
      <c r="K227">
        <v>4647</v>
      </c>
      <c r="L227">
        <v>2367</v>
      </c>
      <c r="M227">
        <v>1116</v>
      </c>
      <c r="N227">
        <v>1251</v>
      </c>
      <c r="O227">
        <v>17787</v>
      </c>
      <c r="P227">
        <v>9044</v>
      </c>
      <c r="Q227">
        <v>8743</v>
      </c>
      <c r="R227">
        <v>111</v>
      </c>
      <c r="S227">
        <v>62</v>
      </c>
      <c r="T227">
        <v>49</v>
      </c>
      <c r="U227">
        <v>730</v>
      </c>
      <c r="V227">
        <v>409</v>
      </c>
      <c r="W227">
        <v>321</v>
      </c>
    </row>
    <row r="228" spans="1:23" hidden="1" x14ac:dyDescent="0.25">
      <c r="A228">
        <v>21</v>
      </c>
      <c r="B228" t="s">
        <v>21</v>
      </c>
      <c r="C228">
        <v>2047</v>
      </c>
      <c r="D228" t="s">
        <v>218</v>
      </c>
      <c r="E228">
        <v>26483</v>
      </c>
      <c r="G228">
        <v>13609</v>
      </c>
      <c r="H228">
        <v>12874</v>
      </c>
      <c r="I228">
        <v>10720</v>
      </c>
      <c r="J228">
        <v>5454</v>
      </c>
      <c r="K228">
        <v>5266</v>
      </c>
      <c r="L228">
        <v>1777</v>
      </c>
      <c r="M228">
        <v>791</v>
      </c>
      <c r="N228">
        <v>986</v>
      </c>
      <c r="O228">
        <v>13451</v>
      </c>
      <c r="P228">
        <v>7087</v>
      </c>
      <c r="Q228">
        <v>6364</v>
      </c>
      <c r="R228">
        <v>100</v>
      </c>
      <c r="S228">
        <v>52</v>
      </c>
      <c r="T228">
        <v>48</v>
      </c>
      <c r="U228">
        <v>435</v>
      </c>
      <c r="V228">
        <v>225</v>
      </c>
      <c r="W228">
        <v>210</v>
      </c>
    </row>
    <row r="229" spans="1:23" hidden="1" x14ac:dyDescent="0.25">
      <c r="A229">
        <v>21</v>
      </c>
      <c r="B229" t="s">
        <v>21</v>
      </c>
      <c r="C229">
        <v>2047</v>
      </c>
      <c r="D229" t="s">
        <v>219</v>
      </c>
      <c r="E229">
        <v>22713</v>
      </c>
      <c r="G229">
        <v>10090</v>
      </c>
      <c r="H229">
        <v>12623</v>
      </c>
      <c r="I229">
        <v>12844</v>
      </c>
      <c r="J229">
        <v>5424</v>
      </c>
      <c r="K229">
        <v>7420</v>
      </c>
      <c r="L229">
        <v>893</v>
      </c>
      <c r="M229">
        <v>488</v>
      </c>
      <c r="N229">
        <v>405</v>
      </c>
      <c r="O229">
        <v>8489</v>
      </c>
      <c r="P229">
        <v>3986</v>
      </c>
      <c r="Q229">
        <v>4503</v>
      </c>
      <c r="R229">
        <v>193</v>
      </c>
      <c r="S229">
        <v>85</v>
      </c>
      <c r="T229">
        <v>108</v>
      </c>
      <c r="U229">
        <v>294</v>
      </c>
      <c r="V229">
        <v>107</v>
      </c>
      <c r="W229">
        <v>187</v>
      </c>
    </row>
    <row r="230" spans="1:23" hidden="1" x14ac:dyDescent="0.25">
      <c r="A230">
        <v>21</v>
      </c>
      <c r="B230" t="s">
        <v>21</v>
      </c>
      <c r="C230">
        <v>2048</v>
      </c>
      <c r="D230" t="s">
        <v>214</v>
      </c>
      <c r="E230">
        <v>122285</v>
      </c>
      <c r="G230">
        <v>60865</v>
      </c>
      <c r="H230">
        <v>61420</v>
      </c>
      <c r="I230">
        <v>43612</v>
      </c>
      <c r="J230">
        <v>21098</v>
      </c>
      <c r="K230">
        <v>22514</v>
      </c>
      <c r="L230">
        <v>8112</v>
      </c>
      <c r="M230">
        <v>3917</v>
      </c>
      <c r="N230">
        <v>4195</v>
      </c>
      <c r="O230">
        <v>67375</v>
      </c>
      <c r="P230">
        <v>34224</v>
      </c>
      <c r="Q230">
        <v>33151</v>
      </c>
      <c r="R230">
        <v>569</v>
      </c>
      <c r="S230">
        <v>292</v>
      </c>
      <c r="T230">
        <v>277</v>
      </c>
      <c r="U230">
        <v>2617</v>
      </c>
      <c r="V230">
        <v>1334</v>
      </c>
      <c r="W230">
        <v>1283</v>
      </c>
    </row>
    <row r="231" spans="1:23" hidden="1" x14ac:dyDescent="0.25">
      <c r="A231">
        <v>21</v>
      </c>
      <c r="B231" t="s">
        <v>21</v>
      </c>
      <c r="C231">
        <v>2048</v>
      </c>
      <c r="D231" t="s">
        <v>215</v>
      </c>
      <c r="E231">
        <v>30544</v>
      </c>
      <c r="G231">
        <v>15452</v>
      </c>
      <c r="H231">
        <v>15092</v>
      </c>
      <c r="I231">
        <v>7474</v>
      </c>
      <c r="J231">
        <v>3750</v>
      </c>
      <c r="K231">
        <v>3724</v>
      </c>
      <c r="L231">
        <v>2250</v>
      </c>
      <c r="M231">
        <v>1128</v>
      </c>
      <c r="N231">
        <v>1122</v>
      </c>
      <c r="O231">
        <v>19867</v>
      </c>
      <c r="P231">
        <v>10088</v>
      </c>
      <c r="Q231">
        <v>9779</v>
      </c>
      <c r="R231">
        <v>116</v>
      </c>
      <c r="S231">
        <v>62</v>
      </c>
      <c r="T231">
        <v>54</v>
      </c>
      <c r="U231">
        <v>837</v>
      </c>
      <c r="V231">
        <v>424</v>
      </c>
      <c r="W231">
        <v>413</v>
      </c>
    </row>
    <row r="232" spans="1:23" hidden="1" x14ac:dyDescent="0.25">
      <c r="A232">
        <v>21</v>
      </c>
      <c r="B232" t="s">
        <v>21</v>
      </c>
      <c r="C232">
        <v>2048</v>
      </c>
      <c r="D232" t="s">
        <v>216</v>
      </c>
      <c r="E232">
        <v>11007</v>
      </c>
      <c r="G232">
        <v>5668</v>
      </c>
      <c r="H232">
        <v>5339</v>
      </c>
      <c r="I232">
        <v>3065</v>
      </c>
      <c r="J232">
        <v>1530</v>
      </c>
      <c r="K232">
        <v>1535</v>
      </c>
      <c r="L232">
        <v>766</v>
      </c>
      <c r="M232">
        <v>384</v>
      </c>
      <c r="N232">
        <v>382</v>
      </c>
      <c r="O232">
        <v>6824</v>
      </c>
      <c r="P232">
        <v>3566</v>
      </c>
      <c r="Q232">
        <v>3258</v>
      </c>
      <c r="R232">
        <v>48</v>
      </c>
      <c r="S232">
        <v>29</v>
      </c>
      <c r="T232">
        <v>19</v>
      </c>
      <c r="U232">
        <v>304</v>
      </c>
      <c r="V232">
        <v>159</v>
      </c>
      <c r="W232">
        <v>145</v>
      </c>
    </row>
    <row r="233" spans="1:23" hidden="1" x14ac:dyDescent="0.25">
      <c r="A233">
        <v>21</v>
      </c>
      <c r="B233" t="s">
        <v>21</v>
      </c>
      <c r="C233">
        <v>2048</v>
      </c>
      <c r="D233" t="s">
        <v>217</v>
      </c>
      <c r="E233">
        <v>30920</v>
      </c>
      <c r="G233">
        <v>15751</v>
      </c>
      <c r="H233">
        <v>15169</v>
      </c>
      <c r="I233">
        <v>9606</v>
      </c>
      <c r="J233">
        <v>4963</v>
      </c>
      <c r="K233">
        <v>4643</v>
      </c>
      <c r="L233">
        <v>2414</v>
      </c>
      <c r="M233">
        <v>1142</v>
      </c>
      <c r="N233">
        <v>1272</v>
      </c>
      <c r="O233">
        <v>18063</v>
      </c>
      <c r="P233">
        <v>9173</v>
      </c>
      <c r="Q233">
        <v>8890</v>
      </c>
      <c r="R233">
        <v>110</v>
      </c>
      <c r="S233">
        <v>64</v>
      </c>
      <c r="T233">
        <v>46</v>
      </c>
      <c r="U233">
        <v>727</v>
      </c>
      <c r="V233">
        <v>409</v>
      </c>
      <c r="W233">
        <v>318</v>
      </c>
    </row>
    <row r="234" spans="1:23" hidden="1" x14ac:dyDescent="0.25">
      <c r="A234">
        <v>21</v>
      </c>
      <c r="B234" t="s">
        <v>21</v>
      </c>
      <c r="C234">
        <v>2048</v>
      </c>
      <c r="D234" t="s">
        <v>218</v>
      </c>
      <c r="E234">
        <v>27123</v>
      </c>
      <c r="G234">
        <v>13917</v>
      </c>
      <c r="H234">
        <v>13206</v>
      </c>
      <c r="I234">
        <v>10874</v>
      </c>
      <c r="J234">
        <v>5531</v>
      </c>
      <c r="K234">
        <v>5343</v>
      </c>
      <c r="L234">
        <v>1813</v>
      </c>
      <c r="M234">
        <v>789</v>
      </c>
      <c r="N234">
        <v>1024</v>
      </c>
      <c r="O234">
        <v>13875</v>
      </c>
      <c r="P234">
        <v>7311</v>
      </c>
      <c r="Q234">
        <v>6564</v>
      </c>
      <c r="R234">
        <v>101</v>
      </c>
      <c r="S234">
        <v>51</v>
      </c>
      <c r="T234">
        <v>50</v>
      </c>
      <c r="U234">
        <v>460</v>
      </c>
      <c r="V234">
        <v>235</v>
      </c>
      <c r="W234">
        <v>225</v>
      </c>
    </row>
    <row r="235" spans="1:23" hidden="1" x14ac:dyDescent="0.25">
      <c r="A235">
        <v>21</v>
      </c>
      <c r="B235" t="s">
        <v>21</v>
      </c>
      <c r="C235">
        <v>2048</v>
      </c>
      <c r="D235" t="s">
        <v>219</v>
      </c>
      <c r="E235">
        <v>22691</v>
      </c>
      <c r="G235">
        <v>10077</v>
      </c>
      <c r="H235">
        <v>12614</v>
      </c>
      <c r="I235">
        <v>12593</v>
      </c>
      <c r="J235">
        <v>5324</v>
      </c>
      <c r="K235">
        <v>7269</v>
      </c>
      <c r="L235">
        <v>869</v>
      </c>
      <c r="M235">
        <v>474</v>
      </c>
      <c r="N235">
        <v>395</v>
      </c>
      <c r="O235">
        <v>8746</v>
      </c>
      <c r="P235">
        <v>4086</v>
      </c>
      <c r="Q235">
        <v>4660</v>
      </c>
      <c r="R235">
        <v>194</v>
      </c>
      <c r="S235">
        <v>86</v>
      </c>
      <c r="T235">
        <v>108</v>
      </c>
      <c r="U235">
        <v>289</v>
      </c>
      <c r="V235">
        <v>107</v>
      </c>
      <c r="W235">
        <v>182</v>
      </c>
    </row>
    <row r="236" spans="1:23" hidden="1" x14ac:dyDescent="0.25">
      <c r="A236">
        <v>21</v>
      </c>
      <c r="B236" t="s">
        <v>21</v>
      </c>
      <c r="C236">
        <v>2049</v>
      </c>
      <c r="D236" t="s">
        <v>214</v>
      </c>
      <c r="E236">
        <v>123636</v>
      </c>
      <c r="G236">
        <v>61515</v>
      </c>
      <c r="H236">
        <v>62121</v>
      </c>
      <c r="I236">
        <v>43439</v>
      </c>
      <c r="J236">
        <v>21017</v>
      </c>
      <c r="K236">
        <v>22422</v>
      </c>
      <c r="L236">
        <v>8210</v>
      </c>
      <c r="M236">
        <v>3952</v>
      </c>
      <c r="N236">
        <v>4258</v>
      </c>
      <c r="O236">
        <v>68769</v>
      </c>
      <c r="P236">
        <v>34904</v>
      </c>
      <c r="Q236">
        <v>33865</v>
      </c>
      <c r="R236">
        <v>567</v>
      </c>
      <c r="S236">
        <v>291</v>
      </c>
      <c r="T236">
        <v>276</v>
      </c>
      <c r="U236">
        <v>2651</v>
      </c>
      <c r="V236">
        <v>1351</v>
      </c>
      <c r="W236">
        <v>1300</v>
      </c>
    </row>
    <row r="237" spans="1:23" hidden="1" x14ac:dyDescent="0.25">
      <c r="A237">
        <v>21</v>
      </c>
      <c r="B237" t="s">
        <v>21</v>
      </c>
      <c r="C237">
        <v>2049</v>
      </c>
      <c r="D237" t="s">
        <v>215</v>
      </c>
      <c r="E237">
        <v>30822</v>
      </c>
      <c r="G237">
        <v>15593</v>
      </c>
      <c r="H237">
        <v>15229</v>
      </c>
      <c r="I237">
        <v>7438</v>
      </c>
      <c r="J237">
        <v>3732</v>
      </c>
      <c r="K237">
        <v>3706</v>
      </c>
      <c r="L237">
        <v>2274</v>
      </c>
      <c r="M237">
        <v>1141</v>
      </c>
      <c r="N237">
        <v>1133</v>
      </c>
      <c r="O237">
        <v>20152</v>
      </c>
      <c r="P237">
        <v>10232</v>
      </c>
      <c r="Q237">
        <v>9920</v>
      </c>
      <c r="R237">
        <v>115</v>
      </c>
      <c r="S237">
        <v>61</v>
      </c>
      <c r="T237">
        <v>54</v>
      </c>
      <c r="U237">
        <v>843</v>
      </c>
      <c r="V237">
        <v>427</v>
      </c>
      <c r="W237">
        <v>416</v>
      </c>
    </row>
    <row r="238" spans="1:23" hidden="1" x14ac:dyDescent="0.25">
      <c r="A238">
        <v>21</v>
      </c>
      <c r="B238" t="s">
        <v>21</v>
      </c>
      <c r="C238">
        <v>2049</v>
      </c>
      <c r="D238" t="s">
        <v>216</v>
      </c>
      <c r="E238">
        <v>11167</v>
      </c>
      <c r="G238">
        <v>5753</v>
      </c>
      <c r="H238">
        <v>5414</v>
      </c>
      <c r="I238">
        <v>3066</v>
      </c>
      <c r="J238">
        <v>1531</v>
      </c>
      <c r="K238">
        <v>1535</v>
      </c>
      <c r="L238">
        <v>767</v>
      </c>
      <c r="M238">
        <v>386</v>
      </c>
      <c r="N238">
        <v>381</v>
      </c>
      <c r="O238">
        <v>6974</v>
      </c>
      <c r="P238">
        <v>3644</v>
      </c>
      <c r="Q238">
        <v>3330</v>
      </c>
      <c r="R238">
        <v>49</v>
      </c>
      <c r="S238">
        <v>29</v>
      </c>
      <c r="T238">
        <v>20</v>
      </c>
      <c r="U238">
        <v>311</v>
      </c>
      <c r="V238">
        <v>163</v>
      </c>
      <c r="W238">
        <v>148</v>
      </c>
    </row>
    <row r="239" spans="1:23" hidden="1" x14ac:dyDescent="0.25">
      <c r="A239">
        <v>21</v>
      </c>
      <c r="B239" t="s">
        <v>21</v>
      </c>
      <c r="C239">
        <v>2049</v>
      </c>
      <c r="D239" t="s">
        <v>217</v>
      </c>
      <c r="E239">
        <v>31227</v>
      </c>
      <c r="G239">
        <v>15918</v>
      </c>
      <c r="H239">
        <v>15309</v>
      </c>
      <c r="I239">
        <v>9609</v>
      </c>
      <c r="J239">
        <v>4955</v>
      </c>
      <c r="K239">
        <v>4654</v>
      </c>
      <c r="L239">
        <v>2453</v>
      </c>
      <c r="M239">
        <v>1168</v>
      </c>
      <c r="N239">
        <v>1285</v>
      </c>
      <c r="O239">
        <v>18330</v>
      </c>
      <c r="P239">
        <v>9325</v>
      </c>
      <c r="Q239">
        <v>9005</v>
      </c>
      <c r="R239">
        <v>109</v>
      </c>
      <c r="S239">
        <v>63</v>
      </c>
      <c r="T239">
        <v>46</v>
      </c>
      <c r="U239">
        <v>726</v>
      </c>
      <c r="V239">
        <v>407</v>
      </c>
      <c r="W239">
        <v>319</v>
      </c>
    </row>
    <row r="240" spans="1:23" hidden="1" x14ac:dyDescent="0.25">
      <c r="A240">
        <v>21</v>
      </c>
      <c r="B240" t="s">
        <v>21</v>
      </c>
      <c r="C240">
        <v>2049</v>
      </c>
      <c r="D240" t="s">
        <v>218</v>
      </c>
      <c r="E240">
        <v>27755</v>
      </c>
      <c r="G240">
        <v>14189</v>
      </c>
      <c r="H240">
        <v>13566</v>
      </c>
      <c r="I240">
        <v>10999</v>
      </c>
      <c r="J240">
        <v>5588</v>
      </c>
      <c r="K240">
        <v>5411</v>
      </c>
      <c r="L240">
        <v>1852</v>
      </c>
      <c r="M240">
        <v>787</v>
      </c>
      <c r="N240">
        <v>1065</v>
      </c>
      <c r="O240">
        <v>14315</v>
      </c>
      <c r="P240">
        <v>7514</v>
      </c>
      <c r="Q240">
        <v>6801</v>
      </c>
      <c r="R240">
        <v>99</v>
      </c>
      <c r="S240">
        <v>50</v>
      </c>
      <c r="T240">
        <v>49</v>
      </c>
      <c r="U240">
        <v>490</v>
      </c>
      <c r="V240">
        <v>250</v>
      </c>
      <c r="W240">
        <v>240</v>
      </c>
    </row>
    <row r="241" spans="1:23" hidden="1" x14ac:dyDescent="0.25">
      <c r="A241">
        <v>21</v>
      </c>
      <c r="B241" t="s">
        <v>21</v>
      </c>
      <c r="C241">
        <v>2049</v>
      </c>
      <c r="D241" t="s">
        <v>219</v>
      </c>
      <c r="E241">
        <v>22665</v>
      </c>
      <c r="G241">
        <v>10062</v>
      </c>
      <c r="H241">
        <v>12603</v>
      </c>
      <c r="I241">
        <v>12327</v>
      </c>
      <c r="J241">
        <v>5211</v>
      </c>
      <c r="K241">
        <v>7116</v>
      </c>
      <c r="L241">
        <v>864</v>
      </c>
      <c r="M241">
        <v>470</v>
      </c>
      <c r="N241">
        <v>394</v>
      </c>
      <c r="O241">
        <v>8998</v>
      </c>
      <c r="P241">
        <v>4189</v>
      </c>
      <c r="Q241">
        <v>4809</v>
      </c>
      <c r="R241">
        <v>195</v>
      </c>
      <c r="S241">
        <v>88</v>
      </c>
      <c r="T241">
        <v>107</v>
      </c>
      <c r="U241">
        <v>281</v>
      </c>
      <c r="V241">
        <v>104</v>
      </c>
      <c r="W241">
        <v>177</v>
      </c>
    </row>
    <row r="242" spans="1:23" hidden="1" x14ac:dyDescent="0.25">
      <c r="A242">
        <v>21</v>
      </c>
      <c r="B242" t="s">
        <v>21</v>
      </c>
      <c r="C242">
        <v>2050</v>
      </c>
      <c r="D242" t="s">
        <v>214</v>
      </c>
      <c r="E242">
        <v>125002</v>
      </c>
      <c r="G242">
        <v>62183</v>
      </c>
      <c r="H242">
        <v>62819</v>
      </c>
      <c r="I242">
        <v>43276</v>
      </c>
      <c r="J242">
        <v>20948</v>
      </c>
      <c r="K242">
        <v>22328</v>
      </c>
      <c r="L242">
        <v>8296</v>
      </c>
      <c r="M242">
        <v>3987</v>
      </c>
      <c r="N242">
        <v>4309</v>
      </c>
      <c r="O242">
        <v>70186</v>
      </c>
      <c r="P242">
        <v>35591</v>
      </c>
      <c r="Q242">
        <v>34595</v>
      </c>
      <c r="R242">
        <v>565</v>
      </c>
      <c r="S242">
        <v>290</v>
      </c>
      <c r="T242">
        <v>275</v>
      </c>
      <c r="U242">
        <v>2679</v>
      </c>
      <c r="V242">
        <v>1367</v>
      </c>
      <c r="W242">
        <v>1312</v>
      </c>
    </row>
    <row r="243" spans="1:23" hidden="1" x14ac:dyDescent="0.25">
      <c r="A243">
        <v>21</v>
      </c>
      <c r="B243" t="s">
        <v>21</v>
      </c>
      <c r="C243">
        <v>2050</v>
      </c>
      <c r="D243" t="s">
        <v>215</v>
      </c>
      <c r="E243">
        <v>31101</v>
      </c>
      <c r="G243">
        <v>15744</v>
      </c>
      <c r="H243">
        <v>15357</v>
      </c>
      <c r="I243">
        <v>7411</v>
      </c>
      <c r="J243">
        <v>3723</v>
      </c>
      <c r="K243">
        <v>3688</v>
      </c>
      <c r="L243">
        <v>2295</v>
      </c>
      <c r="M243">
        <v>1156</v>
      </c>
      <c r="N243">
        <v>1139</v>
      </c>
      <c r="O243">
        <v>20433</v>
      </c>
      <c r="P243">
        <v>10376</v>
      </c>
      <c r="Q243">
        <v>10057</v>
      </c>
      <c r="R243">
        <v>114</v>
      </c>
      <c r="S243">
        <v>60</v>
      </c>
      <c r="T243">
        <v>54</v>
      </c>
      <c r="U243">
        <v>848</v>
      </c>
      <c r="V243">
        <v>429</v>
      </c>
      <c r="W243">
        <v>419</v>
      </c>
    </row>
    <row r="244" spans="1:23" hidden="1" x14ac:dyDescent="0.25">
      <c r="A244">
        <v>21</v>
      </c>
      <c r="B244" t="s">
        <v>21</v>
      </c>
      <c r="C244">
        <v>2050</v>
      </c>
      <c r="D244" t="s">
        <v>216</v>
      </c>
      <c r="E244">
        <v>11317</v>
      </c>
      <c r="G244">
        <v>5830</v>
      </c>
      <c r="H244">
        <v>5487</v>
      </c>
      <c r="I244">
        <v>3057</v>
      </c>
      <c r="J244">
        <v>1527</v>
      </c>
      <c r="K244">
        <v>1530</v>
      </c>
      <c r="L244">
        <v>768</v>
      </c>
      <c r="M244">
        <v>387</v>
      </c>
      <c r="N244">
        <v>381</v>
      </c>
      <c r="O244">
        <v>7127</v>
      </c>
      <c r="P244">
        <v>3722</v>
      </c>
      <c r="Q244">
        <v>3405</v>
      </c>
      <c r="R244">
        <v>49</v>
      </c>
      <c r="S244">
        <v>28</v>
      </c>
      <c r="T244">
        <v>21</v>
      </c>
      <c r="U244">
        <v>316</v>
      </c>
      <c r="V244">
        <v>166</v>
      </c>
      <c r="W244">
        <v>150</v>
      </c>
    </row>
    <row r="245" spans="1:23" hidden="1" x14ac:dyDescent="0.25">
      <c r="A245">
        <v>21</v>
      </c>
      <c r="B245" t="s">
        <v>21</v>
      </c>
      <c r="C245">
        <v>2050</v>
      </c>
      <c r="D245" t="s">
        <v>217</v>
      </c>
      <c r="E245">
        <v>31526</v>
      </c>
      <c r="G245">
        <v>15980</v>
      </c>
      <c r="H245">
        <v>15546</v>
      </c>
      <c r="I245">
        <v>9555</v>
      </c>
      <c r="J245">
        <v>4893</v>
      </c>
      <c r="K245">
        <v>4662</v>
      </c>
      <c r="L245">
        <v>2527</v>
      </c>
      <c r="M245">
        <v>1192</v>
      </c>
      <c r="N245">
        <v>1335</v>
      </c>
      <c r="O245">
        <v>18597</v>
      </c>
      <c r="P245">
        <v>9416</v>
      </c>
      <c r="Q245">
        <v>9181</v>
      </c>
      <c r="R245">
        <v>109</v>
      </c>
      <c r="S245">
        <v>64</v>
      </c>
      <c r="T245">
        <v>45</v>
      </c>
      <c r="U245">
        <v>738</v>
      </c>
      <c r="V245">
        <v>415</v>
      </c>
      <c r="W245">
        <v>323</v>
      </c>
    </row>
    <row r="246" spans="1:23" hidden="1" x14ac:dyDescent="0.25">
      <c r="A246">
        <v>21</v>
      </c>
      <c r="B246" t="s">
        <v>21</v>
      </c>
      <c r="C246">
        <v>2050</v>
      </c>
      <c r="D246" t="s">
        <v>218</v>
      </c>
      <c r="E246">
        <v>28484</v>
      </c>
      <c r="G246">
        <v>14603</v>
      </c>
      <c r="H246">
        <v>13881</v>
      </c>
      <c r="I246">
        <v>11198</v>
      </c>
      <c r="J246">
        <v>5725</v>
      </c>
      <c r="K246">
        <v>5473</v>
      </c>
      <c r="L246">
        <v>1856</v>
      </c>
      <c r="M246">
        <v>788</v>
      </c>
      <c r="N246">
        <v>1068</v>
      </c>
      <c r="O246">
        <v>14833</v>
      </c>
      <c r="P246">
        <v>7789</v>
      </c>
      <c r="Q246">
        <v>7044</v>
      </c>
      <c r="R246">
        <v>98</v>
      </c>
      <c r="S246">
        <v>48</v>
      </c>
      <c r="T246">
        <v>50</v>
      </c>
      <c r="U246">
        <v>499</v>
      </c>
      <c r="V246">
        <v>253</v>
      </c>
      <c r="W246">
        <v>246</v>
      </c>
    </row>
    <row r="247" spans="1:23" hidden="1" x14ac:dyDescent="0.25">
      <c r="A247">
        <v>21</v>
      </c>
      <c r="B247" t="s">
        <v>21</v>
      </c>
      <c r="C247">
        <v>2050</v>
      </c>
      <c r="D247" t="s">
        <v>219</v>
      </c>
      <c r="E247">
        <v>22574</v>
      </c>
      <c r="G247">
        <v>10026</v>
      </c>
      <c r="H247">
        <v>12548</v>
      </c>
      <c r="I247">
        <v>12055</v>
      </c>
      <c r="J247">
        <v>5080</v>
      </c>
      <c r="K247">
        <v>6975</v>
      </c>
      <c r="L247">
        <v>850</v>
      </c>
      <c r="M247">
        <v>464</v>
      </c>
      <c r="N247">
        <v>386</v>
      </c>
      <c r="O247">
        <v>9196</v>
      </c>
      <c r="P247">
        <v>4288</v>
      </c>
      <c r="Q247">
        <v>4908</v>
      </c>
      <c r="R247">
        <v>195</v>
      </c>
      <c r="S247">
        <v>90</v>
      </c>
      <c r="T247">
        <v>105</v>
      </c>
      <c r="U247">
        <v>278</v>
      </c>
      <c r="V247">
        <v>104</v>
      </c>
      <c r="W247">
        <v>174</v>
      </c>
    </row>
    <row r="249" spans="1:23" x14ac:dyDescent="0.25">
      <c r="D249" s="129" t="s">
        <v>231</v>
      </c>
      <c r="E249" s="10">
        <f>(E224-E62)/E62</f>
        <v>0.40470355960745602</v>
      </c>
      <c r="F249" s="10"/>
    </row>
    <row r="251" spans="1:23" x14ac:dyDescent="0.25">
      <c r="A251" t="s">
        <v>269</v>
      </c>
    </row>
  </sheetData>
  <autoFilter ref="A1:W247" xr:uid="{651FE5E8-CF65-4F17-9D33-5A38697CC520}">
    <filterColumn colId="2">
      <filters>
        <filter val="2020"/>
        <filter val="2021"/>
        <filter val="2022"/>
        <filter val="2023"/>
        <filter val="2024"/>
        <filter val="2025"/>
        <filter val="2026"/>
        <filter val="2027"/>
        <filter val="2028"/>
        <filter val="2029"/>
        <filter val="2030"/>
        <filter val="2031"/>
        <filter val="2032"/>
        <filter val="2033"/>
        <filter val="2034"/>
        <filter val="2035"/>
        <filter val="2036"/>
        <filter val="2037"/>
        <filter val="2038"/>
        <filter val="2039"/>
        <filter val="2040"/>
        <filter val="2041"/>
        <filter val="2042"/>
        <filter val="2043"/>
        <filter val="2044"/>
        <filter val="2045"/>
        <filter val="2046"/>
        <filter val="2047"/>
      </filters>
    </filterColumn>
    <filterColumn colId="3">
      <filters>
        <filter val="ALL"/>
      </filters>
    </filterColumn>
  </autoFilter>
  <pageMargins left="0.7" right="0.7" top="0.75" bottom="0.75" header="0.3" footer="0.3"/>
  <pageSetup scale="59"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9C332-A66C-4510-A7E0-336600525417}">
  <sheetPr>
    <pageSetUpPr fitToPage="1"/>
  </sheetPr>
  <dimension ref="A1:AC63"/>
  <sheetViews>
    <sheetView tabSelected="1" workbookViewId="0">
      <selection activeCell="F1" sqref="F1"/>
    </sheetView>
  </sheetViews>
  <sheetFormatPr defaultRowHeight="15" x14ac:dyDescent="0.25"/>
  <cols>
    <col min="1" max="1" width="43.7109375" bestFit="1" customWidth="1"/>
    <col min="2" max="2" width="13.42578125" customWidth="1"/>
    <col min="3" max="3" width="9" bestFit="1" customWidth="1"/>
    <col min="4" max="4" width="8.5703125" customWidth="1"/>
    <col min="5" max="5" width="9.28515625" bestFit="1" customWidth="1"/>
    <col min="6" max="6" width="10.85546875" bestFit="1" customWidth="1"/>
    <col min="7" max="7" width="14.140625" bestFit="1" customWidth="1"/>
    <col min="8" max="8" width="10.85546875" bestFit="1" customWidth="1"/>
    <col min="9" max="29" width="11.85546875" bestFit="1" customWidth="1"/>
  </cols>
  <sheetData>
    <row r="1" spans="1:16" ht="23.25" x14ac:dyDescent="0.25">
      <c r="A1" s="130" t="s">
        <v>232</v>
      </c>
      <c r="B1" s="131"/>
      <c r="C1" s="131"/>
      <c r="D1" s="131"/>
      <c r="E1" s="131"/>
    </row>
    <row r="2" spans="1:16" s="27" customFormat="1" x14ac:dyDescent="0.25">
      <c r="B2" s="132"/>
    </row>
    <row r="3" spans="1:16" x14ac:dyDescent="0.25">
      <c r="A3" s="19" t="s">
        <v>344</v>
      </c>
      <c r="B3" s="132"/>
      <c r="C3" s="27"/>
      <c r="D3" s="27"/>
      <c r="E3" s="27"/>
    </row>
    <row r="4" spans="1:16" x14ac:dyDescent="0.25">
      <c r="A4" s="289" t="s">
        <v>233</v>
      </c>
      <c r="B4" s="291" t="s">
        <v>234</v>
      </c>
      <c r="C4" s="291" t="s">
        <v>345</v>
      </c>
      <c r="D4" s="291"/>
      <c r="E4" s="293"/>
      <c r="K4" s="32"/>
      <c r="L4" s="252"/>
      <c r="M4" s="32"/>
      <c r="N4" s="32"/>
      <c r="O4" s="32"/>
      <c r="P4" s="32"/>
    </row>
    <row r="5" spans="1:16" ht="30" x14ac:dyDescent="0.25">
      <c r="A5" s="290"/>
      <c r="B5" s="292"/>
      <c r="C5" s="133" t="s">
        <v>42</v>
      </c>
      <c r="D5" s="134">
        <v>7.0000000000000007E-2</v>
      </c>
      <c r="E5" s="135">
        <v>0.03</v>
      </c>
      <c r="K5" s="32"/>
      <c r="L5" s="252"/>
      <c r="M5" s="252"/>
      <c r="N5" s="252"/>
      <c r="O5" s="252"/>
      <c r="P5" s="32"/>
    </row>
    <row r="6" spans="1:16" x14ac:dyDescent="0.25">
      <c r="A6" s="21" t="s">
        <v>43</v>
      </c>
      <c r="B6" s="136">
        <v>1</v>
      </c>
      <c r="C6" s="137">
        <f t="shared" ref="C6:C8" si="0">B25</f>
        <v>4.3490039999999848</v>
      </c>
      <c r="D6" s="137">
        <f t="shared" ref="D6:D8" si="1">B39</f>
        <v>1.5350329348987009</v>
      </c>
      <c r="E6" s="138">
        <f t="shared" ref="E6:E8" si="2">B53</f>
        <v>2.7093535964087816</v>
      </c>
      <c r="K6" s="32"/>
      <c r="L6" s="252"/>
      <c r="M6" s="252"/>
      <c r="N6" s="252"/>
      <c r="O6" s="252"/>
      <c r="P6" s="32"/>
    </row>
    <row r="7" spans="1:16" x14ac:dyDescent="0.25">
      <c r="A7" s="21" t="s">
        <v>368</v>
      </c>
      <c r="B7" s="136">
        <v>2</v>
      </c>
      <c r="C7" s="266">
        <f>B26</f>
        <v>0.55259317779279615</v>
      </c>
      <c r="D7" s="266">
        <f t="shared" si="1"/>
        <v>0.17318436201379245</v>
      </c>
      <c r="E7" s="267">
        <f t="shared" si="2"/>
        <v>0.32676330442324469</v>
      </c>
      <c r="K7" s="32"/>
      <c r="L7" s="252"/>
      <c r="M7" s="252"/>
      <c r="N7" s="252"/>
      <c r="O7" s="252"/>
      <c r="P7" s="32"/>
    </row>
    <row r="8" spans="1:16" x14ac:dyDescent="0.25">
      <c r="A8" s="21" t="s">
        <v>369</v>
      </c>
      <c r="B8" s="136">
        <v>3</v>
      </c>
      <c r="C8" s="268">
        <f t="shared" si="0"/>
        <v>0.14572086762535957</v>
      </c>
      <c r="D8" s="268">
        <f t="shared" si="1"/>
        <v>4.566935768660009E-2</v>
      </c>
      <c r="E8" s="269">
        <f t="shared" si="2"/>
        <v>8.6168693610870442E-2</v>
      </c>
      <c r="K8" s="32"/>
      <c r="L8" s="252"/>
      <c r="M8" s="252"/>
      <c r="N8" s="252"/>
      <c r="O8" s="252"/>
      <c r="P8" s="32"/>
    </row>
    <row r="9" spans="1:16" x14ac:dyDescent="0.25">
      <c r="A9" s="21" t="s">
        <v>291</v>
      </c>
      <c r="B9" s="136">
        <v>4</v>
      </c>
      <c r="C9" s="137">
        <f>B28</f>
        <v>20.307656403030052</v>
      </c>
      <c r="D9" s="137">
        <f>B42</f>
        <v>5.5760843321305789</v>
      </c>
      <c r="E9" s="138">
        <f>B56</f>
        <v>11.36217140569657</v>
      </c>
      <c r="K9" s="32"/>
      <c r="L9" s="252"/>
      <c r="M9" s="252"/>
      <c r="N9" s="252"/>
      <c r="O9" s="252"/>
      <c r="P9" s="32"/>
    </row>
    <row r="10" spans="1:16" x14ac:dyDescent="0.25">
      <c r="A10" s="21" t="s">
        <v>292</v>
      </c>
      <c r="B10" s="136">
        <v>5</v>
      </c>
      <c r="C10" s="137">
        <f>B29</f>
        <v>7.0696212133629182</v>
      </c>
      <c r="D10" s="137">
        <f>B43</f>
        <v>2.2156405267357813</v>
      </c>
      <c r="E10" s="138">
        <f>B57</f>
        <v>4.1804583942318265</v>
      </c>
      <c r="K10" s="253"/>
      <c r="L10" s="252"/>
      <c r="M10" s="252"/>
      <c r="N10" s="252"/>
      <c r="O10" s="252"/>
      <c r="P10" s="32"/>
    </row>
    <row r="11" spans="1:16" x14ac:dyDescent="0.25">
      <c r="A11" s="21" t="s">
        <v>399</v>
      </c>
      <c r="B11" s="136">
        <v>6</v>
      </c>
      <c r="C11" s="137">
        <f>B30</f>
        <v>0.60899999999999999</v>
      </c>
      <c r="D11" s="137">
        <f>B44</f>
        <v>0.3918875018811645</v>
      </c>
      <c r="E11" s="138">
        <f>B58</f>
        <v>0.51727071757295462</v>
      </c>
      <c r="K11" s="32"/>
      <c r="L11" s="252"/>
      <c r="M11" s="254"/>
      <c r="N11" s="254"/>
      <c r="O11" s="254"/>
      <c r="P11" s="32"/>
    </row>
    <row r="12" spans="1:16" x14ac:dyDescent="0.25">
      <c r="A12" s="21" t="s">
        <v>49</v>
      </c>
      <c r="B12" s="136">
        <v>7</v>
      </c>
      <c r="C12" s="137">
        <f>B31</f>
        <v>-14.696040212982721</v>
      </c>
      <c r="D12" s="137">
        <f>B45</f>
        <v>-9.8755127481478411</v>
      </c>
      <c r="E12" s="138">
        <f>B59</f>
        <v>-12.344554647671929</v>
      </c>
      <c r="K12" s="32"/>
      <c r="L12" s="252"/>
      <c r="M12" s="284"/>
      <c r="N12" s="284"/>
      <c r="O12" s="284"/>
      <c r="P12" s="32"/>
    </row>
    <row r="13" spans="1:16" x14ac:dyDescent="0.25">
      <c r="A13" s="139"/>
      <c r="B13" s="140"/>
      <c r="C13" s="141">
        <f>SUM(C6:C11)</f>
        <v>33.033595661811113</v>
      </c>
      <c r="D13" s="141">
        <f t="shared" ref="D13:E13" si="3">SUM(D6:D11)</f>
        <v>9.9374990153466189</v>
      </c>
      <c r="E13" s="141">
        <f t="shared" si="3"/>
        <v>19.182186111944247</v>
      </c>
      <c r="F13" s="243"/>
      <c r="K13" s="32"/>
      <c r="L13" s="252"/>
      <c r="M13" s="32"/>
      <c r="N13" s="32"/>
      <c r="O13" s="32"/>
      <c r="P13" s="32"/>
    </row>
    <row r="14" spans="1:16" x14ac:dyDescent="0.25">
      <c r="A14" s="27"/>
      <c r="B14" s="132"/>
      <c r="C14" s="142"/>
      <c r="D14" s="27"/>
      <c r="E14" s="27"/>
      <c r="K14" s="32"/>
      <c r="L14" s="252"/>
      <c r="M14" s="32"/>
      <c r="N14" s="32"/>
      <c r="O14" s="32"/>
      <c r="P14" s="32"/>
    </row>
    <row r="15" spans="1:16" x14ac:dyDescent="0.25">
      <c r="A15" s="19" t="s">
        <v>344</v>
      </c>
      <c r="B15" s="27"/>
      <c r="C15" s="291" t="s">
        <v>345</v>
      </c>
      <c r="D15" s="291"/>
      <c r="E15" s="293"/>
    </row>
    <row r="16" spans="1:16" ht="30" x14ac:dyDescent="0.25">
      <c r="A16" s="289" t="s">
        <v>235</v>
      </c>
      <c r="B16" s="291"/>
      <c r="C16" s="143" t="s">
        <v>42</v>
      </c>
      <c r="D16" s="144">
        <v>7.0000000000000007E-2</v>
      </c>
      <c r="E16" s="145">
        <v>0.03</v>
      </c>
      <c r="G16" s="250" t="s">
        <v>370</v>
      </c>
    </row>
    <row r="17" spans="1:29" x14ac:dyDescent="0.25">
      <c r="A17" s="287" t="s">
        <v>44</v>
      </c>
      <c r="B17" s="288"/>
      <c r="C17" s="146">
        <f>C13</f>
        <v>33.033595661811113</v>
      </c>
      <c r="D17" s="146">
        <f>D13</f>
        <v>9.9374990153466189</v>
      </c>
      <c r="E17" s="220">
        <f>E13</f>
        <v>19.182186111944247</v>
      </c>
      <c r="G17" s="255" t="s">
        <v>49</v>
      </c>
      <c r="H17" s="256"/>
      <c r="I17" s="257"/>
      <c r="J17" s="255" t="s">
        <v>288</v>
      </c>
      <c r="K17" s="256"/>
      <c r="L17" s="257"/>
      <c r="M17" s="255" t="s">
        <v>287</v>
      </c>
      <c r="N17" s="256"/>
      <c r="O17" s="257"/>
    </row>
    <row r="18" spans="1:29" x14ac:dyDescent="0.25">
      <c r="A18" s="294"/>
      <c r="B18" s="295"/>
      <c r="C18" s="146"/>
      <c r="D18" s="146"/>
      <c r="E18" s="220"/>
      <c r="G18" s="258" t="s">
        <v>371</v>
      </c>
      <c r="H18" s="259">
        <f>D17*0.2</f>
        <v>1.9874998030693238</v>
      </c>
      <c r="I18" s="260"/>
      <c r="J18" s="258" t="s">
        <v>371</v>
      </c>
      <c r="K18" s="259">
        <f>D10*0.2</f>
        <v>0.4431281053471563</v>
      </c>
      <c r="L18" s="260"/>
      <c r="M18" s="258" t="s">
        <v>371</v>
      </c>
      <c r="N18" s="259">
        <f>D9*0.2</f>
        <v>1.1152168664261157</v>
      </c>
      <c r="O18" s="260"/>
    </row>
    <row r="19" spans="1:29" x14ac:dyDescent="0.25">
      <c r="A19" s="287" t="s">
        <v>45</v>
      </c>
      <c r="B19" s="288"/>
      <c r="C19" s="238">
        <f>((-B31))</f>
        <v>14.696040212982721</v>
      </c>
      <c r="D19" s="238">
        <f>-B45</f>
        <v>9.8755127481478411</v>
      </c>
      <c r="E19" s="239">
        <f>-B61</f>
        <v>11.827283930098975</v>
      </c>
      <c r="G19" s="258" t="s">
        <v>372</v>
      </c>
      <c r="H19" s="251"/>
      <c r="I19" s="261">
        <f>D17*0.2</f>
        <v>1.9874998030693238</v>
      </c>
      <c r="J19" s="258" t="s">
        <v>372</v>
      </c>
      <c r="K19" s="251"/>
      <c r="L19" s="261">
        <f>D10*0.2</f>
        <v>0.4431281053471563</v>
      </c>
      <c r="M19" s="258" t="s">
        <v>372</v>
      </c>
      <c r="N19" s="251"/>
      <c r="O19" s="261">
        <f>D9*0.2</f>
        <v>1.1152168664261157</v>
      </c>
    </row>
    <row r="20" spans="1:29" x14ac:dyDescent="0.25">
      <c r="A20" s="294" t="s">
        <v>357</v>
      </c>
      <c r="B20" s="296"/>
      <c r="C20" s="277">
        <f>C17-C19</f>
        <v>18.33755544882839</v>
      </c>
      <c r="D20" s="277">
        <f t="shared" ref="D20:E20" si="4">D17-(D18+D19)</f>
        <v>6.1986267198777867E-2</v>
      </c>
      <c r="E20" s="278">
        <f t="shared" si="4"/>
        <v>7.3549021818452722</v>
      </c>
      <c r="G20" s="258" t="s">
        <v>357</v>
      </c>
      <c r="H20" s="259">
        <f>D17-(H18+D19)</f>
        <v>-1.9255135358705466</v>
      </c>
      <c r="I20" s="262">
        <f>D17-(D19-I19)</f>
        <v>2.0494860702681015</v>
      </c>
      <c r="J20" s="258" t="s">
        <v>357</v>
      </c>
      <c r="K20" s="259">
        <f>(K18+D17)-D19</f>
        <v>0.50511437254593439</v>
      </c>
      <c r="L20" s="262">
        <f>(D17-L19)-(D19)</f>
        <v>-0.38114183814837865</v>
      </c>
      <c r="M20" s="258" t="s">
        <v>357</v>
      </c>
      <c r="N20" s="259">
        <f>(D17+N18)-(D19)</f>
        <v>1.1772031336248929</v>
      </c>
      <c r="O20" s="262">
        <f>(D17-O19)-(D19)</f>
        <v>-1.0532305992273372</v>
      </c>
    </row>
    <row r="21" spans="1:29" x14ac:dyDescent="0.25">
      <c r="A21" s="285" t="s">
        <v>236</v>
      </c>
      <c r="B21" s="286"/>
      <c r="C21" s="240">
        <f>IFERROR(C17/(C18+C19),"-")</f>
        <v>2.2477888725854669</v>
      </c>
      <c r="D21" s="240">
        <f t="shared" ref="D21:E21" si="5">IFERROR(D17/(D18+D19),"-")</f>
        <v>1.0062767644353863</v>
      </c>
      <c r="E21" s="240">
        <f t="shared" si="5"/>
        <v>1.6218589344192504</v>
      </c>
      <c r="G21" s="263" t="s">
        <v>236</v>
      </c>
      <c r="H21" s="264">
        <f>D17/(H18+D19)</f>
        <v>0.83768764236256454</v>
      </c>
      <c r="I21" s="265">
        <f>D17/(D19-I19)</f>
        <v>1.2598228583723123</v>
      </c>
      <c r="J21" s="263" t="s">
        <v>236</v>
      </c>
      <c r="K21" s="264">
        <f>(D17+K18)/(D19)</f>
        <v>1.0511481667258917</v>
      </c>
      <c r="L21" s="265">
        <f>(D17-L19)/(D19)</f>
        <v>0.96140536214488082</v>
      </c>
      <c r="M21" s="263" t="s">
        <v>236</v>
      </c>
      <c r="N21" s="264">
        <f>(D17+N19)/(D19)</f>
        <v>1.0062767644353863</v>
      </c>
      <c r="O21" s="265">
        <f>(D17-O19)/(D19)</f>
        <v>0.89334927450477231</v>
      </c>
    </row>
    <row r="22" spans="1:29" x14ac:dyDescent="0.25">
      <c r="A22" s="27"/>
      <c r="B22" s="132"/>
      <c r="C22" s="27"/>
      <c r="D22" s="27"/>
      <c r="E22" s="147"/>
    </row>
    <row r="23" spans="1:29" x14ac:dyDescent="0.25">
      <c r="A23" s="19" t="s">
        <v>52</v>
      </c>
      <c r="B23" s="132"/>
      <c r="C23" s="27"/>
      <c r="D23" s="27"/>
      <c r="E23" s="131"/>
    </row>
    <row r="24" spans="1:29" x14ac:dyDescent="0.25">
      <c r="A24" s="20" t="s">
        <v>47</v>
      </c>
      <c r="B24" s="26" t="s">
        <v>28</v>
      </c>
      <c r="C24" s="26">
        <v>2020</v>
      </c>
      <c r="D24" s="26">
        <f t="shared" ref="D24:AC24" si="6">C24+1</f>
        <v>2021</v>
      </c>
      <c r="E24" s="26">
        <f t="shared" si="6"/>
        <v>2022</v>
      </c>
      <c r="F24" s="26">
        <f t="shared" si="6"/>
        <v>2023</v>
      </c>
      <c r="G24" s="26">
        <f t="shared" si="6"/>
        <v>2024</v>
      </c>
      <c r="H24" s="26">
        <f t="shared" si="6"/>
        <v>2025</v>
      </c>
      <c r="I24" s="26">
        <f t="shared" si="6"/>
        <v>2026</v>
      </c>
      <c r="J24" s="26">
        <f t="shared" si="6"/>
        <v>2027</v>
      </c>
      <c r="K24" s="26">
        <f t="shared" si="6"/>
        <v>2028</v>
      </c>
      <c r="L24" s="26">
        <f t="shared" si="6"/>
        <v>2029</v>
      </c>
      <c r="M24" s="26">
        <f t="shared" si="6"/>
        <v>2030</v>
      </c>
      <c r="N24" s="26">
        <f t="shared" si="6"/>
        <v>2031</v>
      </c>
      <c r="O24" s="26">
        <f t="shared" si="6"/>
        <v>2032</v>
      </c>
      <c r="P24" s="26">
        <f t="shared" si="6"/>
        <v>2033</v>
      </c>
      <c r="Q24" s="26">
        <f t="shared" si="6"/>
        <v>2034</v>
      </c>
      <c r="R24" s="26">
        <f t="shared" si="6"/>
        <v>2035</v>
      </c>
      <c r="S24" s="26">
        <f t="shared" si="6"/>
        <v>2036</v>
      </c>
      <c r="T24" s="26">
        <f t="shared" si="6"/>
        <v>2037</v>
      </c>
      <c r="U24" s="26">
        <f t="shared" si="6"/>
        <v>2038</v>
      </c>
      <c r="V24" s="26">
        <f t="shared" si="6"/>
        <v>2039</v>
      </c>
      <c r="W24" s="26">
        <f t="shared" si="6"/>
        <v>2040</v>
      </c>
      <c r="X24" s="26">
        <f t="shared" si="6"/>
        <v>2041</v>
      </c>
      <c r="Y24" s="26">
        <f t="shared" si="6"/>
        <v>2042</v>
      </c>
      <c r="Z24" s="26">
        <f t="shared" si="6"/>
        <v>2043</v>
      </c>
      <c r="AA24" s="26">
        <f t="shared" si="6"/>
        <v>2044</v>
      </c>
      <c r="AB24" s="26">
        <f t="shared" si="6"/>
        <v>2045</v>
      </c>
      <c r="AC24" s="26">
        <f t="shared" si="6"/>
        <v>2046</v>
      </c>
    </row>
    <row r="25" spans="1:29" x14ac:dyDescent="0.25">
      <c r="A25" s="21" t="s">
        <v>43</v>
      </c>
      <c r="B25" s="148">
        <f t="shared" ref="B25:B34" si="7">SUM(C25:AC25)/10^6</f>
        <v>4.3490039999999848</v>
      </c>
      <c r="C25" s="149">
        <f>'Accident Impacts (Calc3)'!D27</f>
        <v>0</v>
      </c>
      <c r="D25" s="149">
        <f>'Accident Impacts (Calc3)'!E27</f>
        <v>0</v>
      </c>
      <c r="E25" s="149">
        <f>'Accident Impacts (Calc3)'!F27</f>
        <v>0</v>
      </c>
      <c r="F25" s="149">
        <f>'Accident Impacts (Calc3)'!G27</f>
        <v>0</v>
      </c>
      <c r="G25" s="149">
        <f>'Accident Impacts (Calc3)'!H27</f>
        <v>0</v>
      </c>
      <c r="H25" s="149">
        <f>'Accident Impacts (Calc3)'!I27</f>
        <v>0</v>
      </c>
      <c r="I25" s="149">
        <f>'Accident Impacts (Calc3)'!J27</f>
        <v>0</v>
      </c>
      <c r="J25" s="149">
        <f>'Accident Impacts (Calc3)'!K27</f>
        <v>217450.19999999925</v>
      </c>
      <c r="K25" s="149">
        <f>'Accident Impacts (Calc3)'!L27</f>
        <v>217450.19999999925</v>
      </c>
      <c r="L25" s="149">
        <f>'Accident Impacts (Calc3)'!M27</f>
        <v>217450.19999999925</v>
      </c>
      <c r="M25" s="149">
        <f>'Accident Impacts (Calc3)'!N27</f>
        <v>217450.19999999925</v>
      </c>
      <c r="N25" s="149">
        <f>'Accident Impacts (Calc3)'!O27</f>
        <v>217450.19999999925</v>
      </c>
      <c r="O25" s="149">
        <f>'Accident Impacts (Calc3)'!P27</f>
        <v>217450.19999999925</v>
      </c>
      <c r="P25" s="149">
        <f>'Accident Impacts (Calc3)'!Q27</f>
        <v>217450.19999999925</v>
      </c>
      <c r="Q25" s="149">
        <f>'Accident Impacts (Calc3)'!R27</f>
        <v>217450.19999999925</v>
      </c>
      <c r="R25" s="149">
        <f>'Accident Impacts (Calc3)'!S27</f>
        <v>217450.19999999925</v>
      </c>
      <c r="S25" s="149">
        <f>'Accident Impacts (Calc3)'!T27</f>
        <v>217450.19999999925</v>
      </c>
      <c r="T25" s="149">
        <f>'Accident Impacts (Calc3)'!U27</f>
        <v>217450.19999999925</v>
      </c>
      <c r="U25" s="149">
        <f>'Accident Impacts (Calc3)'!V27</f>
        <v>217450.19999999925</v>
      </c>
      <c r="V25" s="149">
        <f>'Accident Impacts (Calc3)'!W27</f>
        <v>217450.19999999925</v>
      </c>
      <c r="W25" s="149">
        <f>'Accident Impacts (Calc3)'!X27</f>
        <v>217450.19999999925</v>
      </c>
      <c r="X25" s="149">
        <f>'Accident Impacts (Calc3)'!Y27</f>
        <v>217450.19999999925</v>
      </c>
      <c r="Y25" s="149">
        <f>'Accident Impacts (Calc3)'!Z27</f>
        <v>217450.19999999925</v>
      </c>
      <c r="Z25" s="149">
        <f>'Accident Impacts (Calc3)'!AA27</f>
        <v>217450.19999999925</v>
      </c>
      <c r="AA25" s="149">
        <f>'Accident Impacts (Calc3)'!AB27</f>
        <v>217450.19999999925</v>
      </c>
      <c r="AB25" s="149">
        <f>'Accident Impacts (Calc3)'!AC27</f>
        <v>217450.19999999925</v>
      </c>
      <c r="AC25" s="149">
        <f>'Accident Impacts (Calc3)'!AD27</f>
        <v>217450.19999999925</v>
      </c>
    </row>
    <row r="26" spans="1:29" x14ac:dyDescent="0.25">
      <c r="A26" s="21" t="s">
        <v>368</v>
      </c>
      <c r="B26" s="246">
        <f t="shared" si="7"/>
        <v>0.55259317779279615</v>
      </c>
      <c r="C26" s="149">
        <f>'Ped Facility Benefits'!D17</f>
        <v>0</v>
      </c>
      <c r="D26" s="149">
        <f>'Ped Facility Benefits'!E17</f>
        <v>0</v>
      </c>
      <c r="E26" s="149">
        <f>'Ped Facility Benefits'!F17</f>
        <v>0</v>
      </c>
      <c r="F26" s="149">
        <f>'Ped Facility Benefits'!G17</f>
        <v>0</v>
      </c>
      <c r="G26" s="149">
        <f>'Ped Facility Benefits'!H17</f>
        <v>0</v>
      </c>
      <c r="H26" s="149">
        <f>'Ped Facility Benefits'!I17</f>
        <v>0</v>
      </c>
      <c r="I26" s="149">
        <f>'Ped Facility Benefits'!J17</f>
        <v>0</v>
      </c>
      <c r="J26" s="149">
        <f>'Ped Facility Benefits'!K17</f>
        <v>15848.002120972116</v>
      </c>
      <c r="K26" s="149">
        <f>'Ped Facility Benefits'!L17</f>
        <v>16719.642237625583</v>
      </c>
      <c r="L26" s="149">
        <f>'Ped Facility Benefits'!M17</f>
        <v>17639.222560694991</v>
      </c>
      <c r="M26" s="149">
        <f>'Ped Facility Benefits'!N17</f>
        <v>18609.379801533214</v>
      </c>
      <c r="N26" s="149">
        <f>'Ped Facility Benefits'!O17</f>
        <v>19632.895690617537</v>
      </c>
      <c r="O26" s="149">
        <f>'Ped Facility Benefits'!P17</f>
        <v>20712.704953601504</v>
      </c>
      <c r="P26" s="149">
        <f>'Ped Facility Benefits'!Q17</f>
        <v>21851.903726049582</v>
      </c>
      <c r="Q26" s="149">
        <f>'Ped Facility Benefits'!R17</f>
        <v>23053.758430982311</v>
      </c>
      <c r="R26" s="149">
        <f>'Ped Facility Benefits'!S17</f>
        <v>24321.715144686335</v>
      </c>
      <c r="S26" s="149">
        <f>'Ped Facility Benefits'!T17</f>
        <v>25659.409477644083</v>
      </c>
      <c r="T26" s="149">
        <f>'Ped Facility Benefits'!U17</f>
        <v>27070.67699891451</v>
      </c>
      <c r="U26" s="149">
        <f>'Ped Facility Benefits'!V17</f>
        <v>28559.564233854802</v>
      </c>
      <c r="V26" s="149">
        <f>'Ped Facility Benefits'!W17</f>
        <v>30130.340266716812</v>
      </c>
      <c r="W26" s="149">
        <f>'Ped Facility Benefits'!X17</f>
        <v>31787.508981386236</v>
      </c>
      <c r="X26" s="149">
        <f>'Ped Facility Benefits'!Y17</f>
        <v>33535.821975362473</v>
      </c>
      <c r="Y26" s="149">
        <f>'Ped Facility Benefits'!Z17</f>
        <v>35380.292184007412</v>
      </c>
      <c r="Z26" s="149">
        <f>'Ped Facility Benefits'!AA17</f>
        <v>37326.208254127814</v>
      </c>
      <c r="AA26" s="149">
        <f>'Ped Facility Benefits'!AB17</f>
        <v>39379.149708104844</v>
      </c>
      <c r="AB26" s="149">
        <f>'Ped Facility Benefits'!AC17</f>
        <v>41545.002942050603</v>
      </c>
      <c r="AC26" s="149">
        <f>'Ped Facility Benefits'!AD17</f>
        <v>43829.978103863388</v>
      </c>
    </row>
    <row r="27" spans="1:29" x14ac:dyDescent="0.25">
      <c r="A27" s="21" t="s">
        <v>369</v>
      </c>
      <c r="B27" s="246">
        <f t="shared" si="7"/>
        <v>0.14572086762535957</v>
      </c>
      <c r="C27" s="149">
        <f>'CycFac Benefits'!D19</f>
        <v>0</v>
      </c>
      <c r="D27" s="149">
        <f>'CycFac Benefits'!E19</f>
        <v>0</v>
      </c>
      <c r="E27" s="149">
        <f>'CycFac Benefits'!F19</f>
        <v>0</v>
      </c>
      <c r="F27" s="149">
        <f>'CycFac Benefits'!G19</f>
        <v>0</v>
      </c>
      <c r="G27" s="149">
        <f>'CycFac Benefits'!H19</f>
        <v>0</v>
      </c>
      <c r="H27" s="149">
        <f>'CycFac Benefits'!I19</f>
        <v>0</v>
      </c>
      <c r="I27" s="149">
        <f>'CycFac Benefits'!J19</f>
        <v>0</v>
      </c>
      <c r="J27" s="149">
        <f>'CycFac Benefits'!K19</f>
        <v>4179.176855604499</v>
      </c>
      <c r="K27" s="149">
        <f>'CycFac Benefits'!L19</f>
        <v>4409.0315826627466</v>
      </c>
      <c r="L27" s="149">
        <f>'CycFac Benefits'!M19</f>
        <v>4651.5283197091967</v>
      </c>
      <c r="M27" s="149">
        <f>'CycFac Benefits'!N19</f>
        <v>4907.3623772932024</v>
      </c>
      <c r="N27" s="149">
        <f>'CycFac Benefits'!O19</f>
        <v>5177.2673080443283</v>
      </c>
      <c r="O27" s="149">
        <f>'CycFac Benefits'!P19</f>
        <v>5462.0170099867664</v>
      </c>
      <c r="P27" s="149">
        <f>'CycFac Benefits'!Q19</f>
        <v>5762.4279455360374</v>
      </c>
      <c r="Q27" s="149">
        <f>'CycFac Benefits'!R19</f>
        <v>6079.3614825405193</v>
      </c>
      <c r="R27" s="149">
        <f>'CycFac Benefits'!S19</f>
        <v>6413.7263640802475</v>
      </c>
      <c r="S27" s="149">
        <f>'CycFac Benefits'!T19</f>
        <v>6766.4813141046607</v>
      </c>
      <c r="T27" s="149">
        <f>'CycFac Benefits'!U19</f>
        <v>7138.6377863804164</v>
      </c>
      <c r="U27" s="149">
        <f>'CycFac Benefits'!V19</f>
        <v>7531.2628646313397</v>
      </c>
      <c r="V27" s="149">
        <f>'CycFac Benefits'!W19</f>
        <v>7945.4823221860624</v>
      </c>
      <c r="W27" s="149">
        <f>'CycFac Benefits'!X19</f>
        <v>8382.4838499062953</v>
      </c>
      <c r="X27" s="149">
        <f>'CycFac Benefits'!Y19</f>
        <v>8843.5204616511419</v>
      </c>
      <c r="Y27" s="149">
        <f>'CycFac Benefits'!Z19</f>
        <v>9329.9140870419524</v>
      </c>
      <c r="Z27" s="149">
        <f>'CycFac Benefits'!AA19</f>
        <v>9843.0593618292605</v>
      </c>
      <c r="AA27" s="149">
        <f>'CycFac Benefits'!AB19</f>
        <v>10384.427626729868</v>
      </c>
      <c r="AB27" s="149">
        <f>'CycFac Benefits'!AC19</f>
        <v>10955.571146200011</v>
      </c>
      <c r="AC27" s="149">
        <f>'CycFac Benefits'!AD19</f>
        <v>11558.127559241011</v>
      </c>
    </row>
    <row r="28" spans="1:29" x14ac:dyDescent="0.25">
      <c r="A28" s="22" t="s">
        <v>287</v>
      </c>
      <c r="B28" s="148">
        <f t="shared" si="7"/>
        <v>20.307656403030052</v>
      </c>
      <c r="C28" s="149">
        <f>'Recreational Benefits'!B34</f>
        <v>0</v>
      </c>
      <c r="D28" s="149">
        <f>'Recreational Benefits'!C34</f>
        <v>0</v>
      </c>
      <c r="E28" s="149">
        <f>'Recreational Benefits'!D34</f>
        <v>0</v>
      </c>
      <c r="F28" s="149">
        <f>'Recreational Benefits'!E34</f>
        <v>0</v>
      </c>
      <c r="G28" s="149">
        <f>'Recreational Benefits'!F34</f>
        <v>0</v>
      </c>
      <c r="H28" s="149">
        <f>'Recreational Benefits'!G34</f>
        <v>0</v>
      </c>
      <c r="I28" s="149">
        <f>'Recreational Benefits'!H34</f>
        <v>0</v>
      </c>
      <c r="J28" s="149">
        <f>'Recreational Benefits'!I34</f>
        <v>254859.78903064071</v>
      </c>
      <c r="K28" s="149">
        <f>'Recreational Benefits'!J34</f>
        <v>291814.45844008366</v>
      </c>
      <c r="L28" s="149">
        <f>'Recreational Benefits'!K34</f>
        <v>333095.37276832166</v>
      </c>
      <c r="M28" s="149">
        <f>'Recreational Benefits'!L34</f>
        <v>379169.84929601621</v>
      </c>
      <c r="N28" s="149">
        <f>'Recreational Benefits'!M34</f>
        <v>430553.84513527778</v>
      </c>
      <c r="O28" s="149">
        <f>'Recreational Benefits'!N34</f>
        <v>487816.92615849659</v>
      </c>
      <c r="P28" s="149">
        <f>'Recreational Benefits'!O34</f>
        <v>551587.73859207029</v>
      </c>
      <c r="Q28" s="149">
        <f>'Recreational Benefits'!P34</f>
        <v>622560.03385897633</v>
      </c>
      <c r="R28" s="149">
        <f>'Recreational Benefits'!Q34</f>
        <v>701499.30232999637</v>
      </c>
      <c r="S28" s="149">
        <f>'Recreational Benefits'!R34</f>
        <v>789250.07722780027</v>
      </c>
      <c r="T28" s="149">
        <f>'Recreational Benefits'!S34</f>
        <v>886743.97607194853</v>
      </c>
      <c r="U28" s="149">
        <f>'Recreational Benefits'!T34</f>
        <v>995008.55381218717</v>
      </c>
      <c r="V28" s="149">
        <f>'Recreational Benefits'!U34</f>
        <v>1115177.0492337667</v>
      </c>
      <c r="W28" s="149">
        <f>'Recreational Benefits'!V34</f>
        <v>1248499.1143997242</v>
      </c>
      <c r="X28" s="149">
        <f>'Recreational Benefits'!W34</f>
        <v>1396352.6258956194</v>
      </c>
      <c r="Y28" s="149">
        <f>'Recreational Benefits'!X34</f>
        <v>1560256.6865441799</v>
      </c>
      <c r="Z28" s="149">
        <f>'Recreational Benefits'!Y34</f>
        <v>1741885.9371508413</v>
      </c>
      <c r="AA28" s="149">
        <f>'Recreational Benefits'!Z34</f>
        <v>1943086.3098255426</v>
      </c>
      <c r="AB28" s="149">
        <f>'Recreational Benefits'!AA34</f>
        <v>2165892.3676104927</v>
      </c>
      <c r="AC28" s="149">
        <f>'Recreational Benefits'!AB34</f>
        <v>2412546.3896480696</v>
      </c>
    </row>
    <row r="29" spans="1:29" x14ac:dyDescent="0.25">
      <c r="A29" s="21" t="s">
        <v>288</v>
      </c>
      <c r="B29" s="246">
        <f t="shared" si="7"/>
        <v>7.0696212133629182</v>
      </c>
      <c r="C29" s="149">
        <f>'Health Benefits'!B16</f>
        <v>0</v>
      </c>
      <c r="D29" s="149">
        <f>'Health Benefits'!C16</f>
        <v>0</v>
      </c>
      <c r="E29" s="149">
        <f>'Health Benefits'!D16</f>
        <v>0</v>
      </c>
      <c r="F29" s="149">
        <f>'Health Benefits'!E16</f>
        <v>0</v>
      </c>
      <c r="G29" s="149">
        <f>'Health Benefits'!F16</f>
        <v>0</v>
      </c>
      <c r="H29" s="149">
        <f>'Health Benefits'!G16</f>
        <v>0</v>
      </c>
      <c r="I29" s="149">
        <f>'Health Benefits'!H16</f>
        <v>0</v>
      </c>
      <c r="J29" s="149">
        <f>'Health Benefits'!I16</f>
        <v>202752</v>
      </c>
      <c r="K29" s="149">
        <f>'Health Benefits'!J16</f>
        <v>213903.35999999999</v>
      </c>
      <c r="L29" s="149">
        <f>'Health Benefits'!K16</f>
        <v>225668.04479999997</v>
      </c>
      <c r="M29" s="149">
        <f>'Health Benefits'!L16</f>
        <v>238079.78726399996</v>
      </c>
      <c r="N29" s="149">
        <f>'Health Benefits'!M16</f>
        <v>251174.17556351994</v>
      </c>
      <c r="O29" s="149">
        <f>'Health Benefits'!N16</f>
        <v>264988.75521951355</v>
      </c>
      <c r="P29" s="149">
        <f>'Health Benefits'!O16</f>
        <v>279563.13675658678</v>
      </c>
      <c r="Q29" s="149">
        <f>'Health Benefits'!P16</f>
        <v>294939.10927819903</v>
      </c>
      <c r="R29" s="149">
        <f>'Health Benefits'!Q16</f>
        <v>311160.76028849994</v>
      </c>
      <c r="S29" s="149">
        <f>'Health Benefits'!R16</f>
        <v>328274.60210436746</v>
      </c>
      <c r="T29" s="149">
        <f>'Health Benefits'!S16</f>
        <v>346329.70522010757</v>
      </c>
      <c r="U29" s="149">
        <f>'Health Benefits'!T16</f>
        <v>365377.83900721354</v>
      </c>
      <c r="V29" s="149">
        <f>'Health Benefits'!U16</f>
        <v>385473.62015261024</v>
      </c>
      <c r="W29" s="149">
        <f>'Health Benefits'!V16</f>
        <v>406674.66926100373</v>
      </c>
      <c r="X29" s="149">
        <f>'Health Benefits'!W16</f>
        <v>429041.77607035893</v>
      </c>
      <c r="Y29" s="149">
        <f>'Health Benefits'!X16</f>
        <v>452639.07375422865</v>
      </c>
      <c r="Z29" s="149">
        <f>'Health Benefits'!Y16</f>
        <v>477534.22281071125</v>
      </c>
      <c r="AA29" s="149">
        <f>'Health Benefits'!Z16</f>
        <v>503798.6050653003</v>
      </c>
      <c r="AB29" s="149">
        <f>'Health Benefits'!AA16</f>
        <v>531507.52834389184</v>
      </c>
      <c r="AC29" s="149">
        <f>'Health Benefits'!AB16</f>
        <v>560740.44240280578</v>
      </c>
    </row>
    <row r="30" spans="1:29" x14ac:dyDescent="0.25">
      <c r="A30" s="22" t="s">
        <v>395</v>
      </c>
      <c r="B30" s="148">
        <f t="shared" si="7"/>
        <v>0.60899999999999999</v>
      </c>
      <c r="C30" s="149">
        <f>'Project Costs'!D41</f>
        <v>0</v>
      </c>
      <c r="D30" s="149">
        <f>'Project Costs'!E41</f>
        <v>0</v>
      </c>
      <c r="E30" s="149">
        <f>'Project Costs'!F41</f>
        <v>0</v>
      </c>
      <c r="F30" s="149">
        <f>'Project Costs'!G41</f>
        <v>500</v>
      </c>
      <c r="G30" s="149">
        <f>'Project Costs'!H41</f>
        <v>500</v>
      </c>
      <c r="H30" s="149">
        <f>'Project Costs'!I41</f>
        <v>500</v>
      </c>
      <c r="I30" s="149">
        <f>'Project Costs'!J41</f>
        <v>500</v>
      </c>
      <c r="J30" s="149">
        <f>'Project Costs'!K41</f>
        <v>500</v>
      </c>
      <c r="K30" s="149">
        <f>'Project Costs'!L41</f>
        <v>-4500</v>
      </c>
      <c r="L30" s="149">
        <f>'Project Costs'!M41</f>
        <v>-4500</v>
      </c>
      <c r="M30" s="149">
        <f>'Project Costs'!N41</f>
        <v>995500</v>
      </c>
      <c r="N30" s="149">
        <f>'Project Costs'!O41</f>
        <v>-5000</v>
      </c>
      <c r="O30" s="149">
        <f>'Project Costs'!P41</f>
        <v>-80000</v>
      </c>
      <c r="P30" s="149">
        <f>'Project Costs'!Q41</f>
        <v>-5000</v>
      </c>
      <c r="Q30" s="149">
        <f>'Project Costs'!R41</f>
        <v>-5000</v>
      </c>
      <c r="R30" s="149">
        <f>'Project Costs'!S41</f>
        <v>-5000</v>
      </c>
      <c r="S30" s="149">
        <f>'Project Costs'!T41</f>
        <v>-5000</v>
      </c>
      <c r="T30" s="149">
        <f>'Project Costs'!U41</f>
        <v>-80000</v>
      </c>
      <c r="U30" s="149">
        <f>'Project Costs'!V41</f>
        <v>-5000</v>
      </c>
      <c r="V30" s="149">
        <f>'Project Costs'!W41</f>
        <v>-5000</v>
      </c>
      <c r="W30" s="149">
        <f>'Project Costs'!X41</f>
        <v>-5000</v>
      </c>
      <c r="X30" s="149">
        <f>'Project Costs'!Y41</f>
        <v>-5000</v>
      </c>
      <c r="Y30" s="149">
        <f>'Project Costs'!Z41</f>
        <v>-80000</v>
      </c>
      <c r="Z30" s="149">
        <f>'Project Costs'!AA41</f>
        <v>-5000</v>
      </c>
      <c r="AA30" s="149">
        <f>'Project Costs'!AB41</f>
        <v>-5000</v>
      </c>
      <c r="AB30" s="149">
        <f>'Project Costs'!AC41</f>
        <v>-5000</v>
      </c>
      <c r="AC30" s="149">
        <f>'Project Costs'!AD41</f>
        <v>-80000</v>
      </c>
    </row>
    <row r="31" spans="1:29" x14ac:dyDescent="0.25">
      <c r="A31" s="22" t="s">
        <v>49</v>
      </c>
      <c r="B31" s="148">
        <f t="shared" si="7"/>
        <v>-14.696040212982721</v>
      </c>
      <c r="C31" s="149">
        <f>'Project Costs'!D21</f>
        <v>0</v>
      </c>
      <c r="D31" s="149">
        <f>'Project Costs'!E21</f>
        <v>0</v>
      </c>
      <c r="E31" s="149">
        <f>'Project Costs'!F21</f>
        <v>-274066.2548586005</v>
      </c>
      <c r="F31" s="149">
        <f>'Project Costs'!G21</f>
        <v>-658119.62515387614</v>
      </c>
      <c r="G31" s="149">
        <f>'Project Costs'!H21</f>
        <v>-173094.47675280028</v>
      </c>
      <c r="H31" s="149">
        <f>'Project Costs'!I21</f>
        <v>-2005194.0771468359</v>
      </c>
      <c r="I31" s="149">
        <f>'Project Costs'!J21</f>
        <v>-7392887.254127223</v>
      </c>
      <c r="J31" s="149">
        <f>'Project Costs'!K21</f>
        <v>-4192678.5249433843</v>
      </c>
      <c r="K31" s="149">
        <f>'Project Costs'!L21</f>
        <v>0</v>
      </c>
      <c r="L31" s="149">
        <f>'Project Costs'!M21</f>
        <v>0</v>
      </c>
      <c r="M31" s="149">
        <f>'Project Costs'!N21</f>
        <v>0</v>
      </c>
      <c r="N31" s="149">
        <f>'Project Costs'!O21</f>
        <v>0</v>
      </c>
      <c r="O31" s="149">
        <f>'Project Costs'!P21</f>
        <v>0</v>
      </c>
      <c r="P31" s="149">
        <f>'Project Costs'!Q21</f>
        <v>0</v>
      </c>
      <c r="Q31" s="149">
        <f>'Project Costs'!R21</f>
        <v>0</v>
      </c>
      <c r="R31" s="149">
        <f>'Project Costs'!S21</f>
        <v>0</v>
      </c>
      <c r="S31" s="149">
        <f>'Project Costs'!T21</f>
        <v>0</v>
      </c>
      <c r="T31" s="149">
        <f>'Project Costs'!U21</f>
        <v>0</v>
      </c>
      <c r="U31" s="149">
        <f>'Project Costs'!V21</f>
        <v>0</v>
      </c>
      <c r="V31" s="149">
        <f>'Project Costs'!W21</f>
        <v>0</v>
      </c>
      <c r="W31" s="149">
        <f>'Project Costs'!X21</f>
        <v>0</v>
      </c>
      <c r="X31" s="149">
        <f>'Project Costs'!Y21</f>
        <v>0</v>
      </c>
      <c r="Y31" s="149">
        <f>'Project Costs'!Z21</f>
        <v>0</v>
      </c>
      <c r="Z31" s="149">
        <f>'Project Costs'!AA21</f>
        <v>0</v>
      </c>
      <c r="AA31" s="149">
        <f>'Project Costs'!AB21</f>
        <v>0</v>
      </c>
      <c r="AB31" s="149">
        <f>'Project Costs'!AC21</f>
        <v>0</v>
      </c>
      <c r="AC31" s="149">
        <f>'Project Costs'!AD21</f>
        <v>0</v>
      </c>
    </row>
    <row r="32" spans="1:29" x14ac:dyDescent="0.25">
      <c r="A32" s="23" t="s">
        <v>44</v>
      </c>
      <c r="B32" s="150">
        <f t="shared" si="7"/>
        <v>32.424595661811111</v>
      </c>
      <c r="C32" s="151">
        <f t="shared" ref="C32:AC32" si="8">SUM(C25:C29)</f>
        <v>0</v>
      </c>
      <c r="D32" s="151">
        <f t="shared" si="8"/>
        <v>0</v>
      </c>
      <c r="E32" s="151">
        <f t="shared" si="8"/>
        <v>0</v>
      </c>
      <c r="F32" s="151">
        <f t="shared" si="8"/>
        <v>0</v>
      </c>
      <c r="G32" s="151">
        <f t="shared" si="8"/>
        <v>0</v>
      </c>
      <c r="H32" s="151">
        <f t="shared" si="8"/>
        <v>0</v>
      </c>
      <c r="I32" s="151">
        <f t="shared" si="8"/>
        <v>0</v>
      </c>
      <c r="J32" s="151">
        <f t="shared" si="8"/>
        <v>695089.16800721653</v>
      </c>
      <c r="K32" s="151">
        <f t="shared" si="8"/>
        <v>744296.69226037117</v>
      </c>
      <c r="L32" s="151">
        <f t="shared" si="8"/>
        <v>798504.3684487252</v>
      </c>
      <c r="M32" s="151">
        <f t="shared" si="8"/>
        <v>858216.57873884181</v>
      </c>
      <c r="N32" s="151">
        <f t="shared" si="8"/>
        <v>923988.38369745889</v>
      </c>
      <c r="O32" s="151">
        <f t="shared" si="8"/>
        <v>996430.6033415976</v>
      </c>
      <c r="P32" s="151">
        <f t="shared" si="8"/>
        <v>1076215.407020242</v>
      </c>
      <c r="Q32" s="151">
        <f t="shared" si="8"/>
        <v>1164082.4630506975</v>
      </c>
      <c r="R32" s="151">
        <f t="shared" si="8"/>
        <v>1260845.7041272621</v>
      </c>
      <c r="S32" s="151">
        <f t="shared" si="8"/>
        <v>1367400.7701239157</v>
      </c>
      <c r="T32" s="151">
        <f t="shared" si="8"/>
        <v>1484733.1960773501</v>
      </c>
      <c r="U32" s="151">
        <f t="shared" si="8"/>
        <v>1613927.4199178859</v>
      </c>
      <c r="V32" s="151">
        <f t="shared" si="8"/>
        <v>1756176.6919752792</v>
      </c>
      <c r="W32" s="151">
        <f t="shared" si="8"/>
        <v>1912793.9764920198</v>
      </c>
      <c r="X32" s="151">
        <f t="shared" si="8"/>
        <v>2085223.9444029911</v>
      </c>
      <c r="Y32" s="151">
        <f t="shared" si="8"/>
        <v>2275056.1665694574</v>
      </c>
      <c r="Z32" s="151">
        <f t="shared" si="8"/>
        <v>2484039.6275775088</v>
      </c>
      <c r="AA32" s="151">
        <f t="shared" si="8"/>
        <v>2714098.692225677</v>
      </c>
      <c r="AB32" s="151">
        <f t="shared" si="8"/>
        <v>2967350.6700426345</v>
      </c>
      <c r="AC32" s="151">
        <f t="shared" si="8"/>
        <v>3246125.137713979</v>
      </c>
    </row>
    <row r="33" spans="1:29" x14ac:dyDescent="0.25">
      <c r="A33" s="23" t="s">
        <v>45</v>
      </c>
      <c r="B33" s="150">
        <f t="shared" si="7"/>
        <v>-14.087040212982721</v>
      </c>
      <c r="C33" s="151">
        <f>SUM(C30:C31)</f>
        <v>0</v>
      </c>
      <c r="D33" s="151">
        <f t="shared" ref="D33:AC33" si="9">SUM(D30:D31)</f>
        <v>0</v>
      </c>
      <c r="E33" s="151">
        <f t="shared" si="9"/>
        <v>-274066.2548586005</v>
      </c>
      <c r="F33" s="151">
        <f t="shared" si="9"/>
        <v>-657619.62515387614</v>
      </c>
      <c r="G33" s="151">
        <f t="shared" si="9"/>
        <v>-172594.47675280028</v>
      </c>
      <c r="H33" s="151">
        <f t="shared" si="9"/>
        <v>-2004694.0771468359</v>
      </c>
      <c r="I33" s="151">
        <f t="shared" si="9"/>
        <v>-7392387.254127223</v>
      </c>
      <c r="J33" s="151">
        <f t="shared" si="9"/>
        <v>-4192178.5249433843</v>
      </c>
      <c r="K33" s="151">
        <f t="shared" si="9"/>
        <v>-4500</v>
      </c>
      <c r="L33" s="151">
        <f t="shared" si="9"/>
        <v>-4500</v>
      </c>
      <c r="M33" s="151">
        <f t="shared" si="9"/>
        <v>995500</v>
      </c>
      <c r="N33" s="151">
        <f t="shared" si="9"/>
        <v>-5000</v>
      </c>
      <c r="O33" s="151">
        <f t="shared" si="9"/>
        <v>-80000</v>
      </c>
      <c r="P33" s="151">
        <f t="shared" si="9"/>
        <v>-5000</v>
      </c>
      <c r="Q33" s="151">
        <f t="shared" si="9"/>
        <v>-5000</v>
      </c>
      <c r="R33" s="151">
        <f t="shared" si="9"/>
        <v>-5000</v>
      </c>
      <c r="S33" s="151">
        <f t="shared" si="9"/>
        <v>-5000</v>
      </c>
      <c r="T33" s="151">
        <f t="shared" si="9"/>
        <v>-80000</v>
      </c>
      <c r="U33" s="151">
        <f t="shared" si="9"/>
        <v>-5000</v>
      </c>
      <c r="V33" s="151">
        <f t="shared" si="9"/>
        <v>-5000</v>
      </c>
      <c r="W33" s="151">
        <f t="shared" si="9"/>
        <v>-5000</v>
      </c>
      <c r="X33" s="151">
        <f t="shared" si="9"/>
        <v>-5000</v>
      </c>
      <c r="Y33" s="151">
        <f t="shared" si="9"/>
        <v>-80000</v>
      </c>
      <c r="Z33" s="151">
        <f t="shared" si="9"/>
        <v>-5000</v>
      </c>
      <c r="AA33" s="151">
        <f t="shared" si="9"/>
        <v>-5000</v>
      </c>
      <c r="AB33" s="151">
        <f t="shared" si="9"/>
        <v>-5000</v>
      </c>
      <c r="AC33" s="151">
        <f t="shared" si="9"/>
        <v>-80000</v>
      </c>
    </row>
    <row r="34" spans="1:29" x14ac:dyDescent="0.25">
      <c r="A34" s="24" t="s">
        <v>50</v>
      </c>
      <c r="B34" s="152">
        <f t="shared" si="7"/>
        <v>18.337555448828393</v>
      </c>
      <c r="C34" s="153">
        <f>SUM(C32:C33)</f>
        <v>0</v>
      </c>
      <c r="D34" s="153">
        <f t="shared" ref="D34:AC34" si="10">SUM(D32:D33)</f>
        <v>0</v>
      </c>
      <c r="E34" s="153">
        <f t="shared" si="10"/>
        <v>-274066.2548586005</v>
      </c>
      <c r="F34" s="153">
        <f t="shared" si="10"/>
        <v>-657619.62515387614</v>
      </c>
      <c r="G34" s="153">
        <f t="shared" si="10"/>
        <v>-172594.47675280028</v>
      </c>
      <c r="H34" s="153">
        <f t="shared" si="10"/>
        <v>-2004694.0771468359</v>
      </c>
      <c r="I34" s="153">
        <f t="shared" si="10"/>
        <v>-7392387.254127223</v>
      </c>
      <c r="J34" s="153">
        <f t="shared" si="10"/>
        <v>-3497089.3569361679</v>
      </c>
      <c r="K34" s="153">
        <f t="shared" si="10"/>
        <v>739796.69226037117</v>
      </c>
      <c r="L34" s="153">
        <f t="shared" si="10"/>
        <v>794004.3684487252</v>
      </c>
      <c r="M34" s="153">
        <f t="shared" si="10"/>
        <v>1853716.5787388417</v>
      </c>
      <c r="N34" s="153">
        <f t="shared" si="10"/>
        <v>918988.38369745889</v>
      </c>
      <c r="O34" s="153">
        <f t="shared" si="10"/>
        <v>916430.6033415976</v>
      </c>
      <c r="P34" s="153">
        <f t="shared" si="10"/>
        <v>1071215.407020242</v>
      </c>
      <c r="Q34" s="153">
        <f t="shared" si="10"/>
        <v>1159082.4630506975</v>
      </c>
      <c r="R34" s="153">
        <f t="shared" si="10"/>
        <v>1255845.7041272621</v>
      </c>
      <c r="S34" s="153">
        <f t="shared" si="10"/>
        <v>1362400.7701239157</v>
      </c>
      <c r="T34" s="153">
        <f t="shared" si="10"/>
        <v>1404733.1960773501</v>
      </c>
      <c r="U34" s="153">
        <f t="shared" si="10"/>
        <v>1608927.4199178859</v>
      </c>
      <c r="V34" s="153">
        <f t="shared" si="10"/>
        <v>1751176.6919752792</v>
      </c>
      <c r="W34" s="153">
        <f t="shared" si="10"/>
        <v>1907793.9764920198</v>
      </c>
      <c r="X34" s="153">
        <f t="shared" si="10"/>
        <v>2080223.9444029911</v>
      </c>
      <c r="Y34" s="153">
        <f t="shared" si="10"/>
        <v>2195056.1665694574</v>
      </c>
      <c r="Z34" s="153">
        <f t="shared" si="10"/>
        <v>2479039.6275775088</v>
      </c>
      <c r="AA34" s="153">
        <f t="shared" si="10"/>
        <v>2709098.692225677</v>
      </c>
      <c r="AB34" s="153">
        <f t="shared" si="10"/>
        <v>2962350.6700426345</v>
      </c>
      <c r="AC34" s="153">
        <f t="shared" si="10"/>
        <v>3166125.137713979</v>
      </c>
    </row>
    <row r="35" spans="1:29" x14ac:dyDescent="0.25">
      <c r="A35" s="25" t="s">
        <v>51</v>
      </c>
      <c r="B35" s="219"/>
      <c r="C35" s="155">
        <f>C34</f>
        <v>0</v>
      </c>
      <c r="D35" s="155">
        <f>C35+D34</f>
        <v>0</v>
      </c>
      <c r="E35" s="155">
        <f>D35+E34</f>
        <v>-274066.2548586005</v>
      </c>
      <c r="F35" s="155">
        <f t="shared" ref="F35:AC35" si="11">E35+F34</f>
        <v>-931685.88001247658</v>
      </c>
      <c r="G35" s="155">
        <f t="shared" si="11"/>
        <v>-1104280.3567652768</v>
      </c>
      <c r="H35" s="155">
        <f t="shared" si="11"/>
        <v>-3108974.4339121124</v>
      </c>
      <c r="I35" s="155">
        <f t="shared" si="11"/>
        <v>-10501361.688039336</v>
      </c>
      <c r="J35" s="155">
        <f t="shared" si="11"/>
        <v>-13998451.044975504</v>
      </c>
      <c r="K35" s="155">
        <f t="shared" si="11"/>
        <v>-13258654.352715133</v>
      </c>
      <c r="L35" s="155">
        <f t="shared" si="11"/>
        <v>-12464649.984266408</v>
      </c>
      <c r="M35" s="155">
        <f t="shared" si="11"/>
        <v>-10610933.405527566</v>
      </c>
      <c r="N35" s="155">
        <f t="shared" si="11"/>
        <v>-9691945.0218301062</v>
      </c>
      <c r="O35" s="155">
        <f t="shared" si="11"/>
        <v>-8775514.4184885081</v>
      </c>
      <c r="P35" s="155">
        <f t="shared" si="11"/>
        <v>-7704299.0114682661</v>
      </c>
      <c r="Q35" s="155">
        <f t="shared" si="11"/>
        <v>-6545216.5484175682</v>
      </c>
      <c r="R35" s="155">
        <f t="shared" si="11"/>
        <v>-5289370.8442903059</v>
      </c>
      <c r="S35" s="155">
        <f t="shared" si="11"/>
        <v>-3926970.0741663901</v>
      </c>
      <c r="T35" s="155">
        <f t="shared" si="11"/>
        <v>-2522236.8780890401</v>
      </c>
      <c r="U35" s="155">
        <f t="shared" si="11"/>
        <v>-913309.45817115414</v>
      </c>
      <c r="V35" s="155">
        <f t="shared" si="11"/>
        <v>837867.23380412511</v>
      </c>
      <c r="W35" s="155">
        <f t="shared" si="11"/>
        <v>2745661.2102961447</v>
      </c>
      <c r="X35" s="155">
        <f t="shared" si="11"/>
        <v>4825885.1546991356</v>
      </c>
      <c r="Y35" s="155">
        <f t="shared" si="11"/>
        <v>7020941.321268593</v>
      </c>
      <c r="Z35" s="155">
        <f t="shared" si="11"/>
        <v>9499980.9488461018</v>
      </c>
      <c r="AA35" s="155">
        <f t="shared" si="11"/>
        <v>12209079.641071778</v>
      </c>
      <c r="AB35" s="155">
        <f t="shared" si="11"/>
        <v>15171430.311114412</v>
      </c>
      <c r="AC35" s="155">
        <f t="shared" si="11"/>
        <v>18337555.448828392</v>
      </c>
    </row>
    <row r="36" spans="1:29" x14ac:dyDescent="0.25">
      <c r="A36" s="27"/>
      <c r="B36" s="132"/>
      <c r="C36" s="156"/>
      <c r="D36" s="27"/>
      <c r="E36" s="156"/>
    </row>
    <row r="37" spans="1:29" x14ac:dyDescent="0.25">
      <c r="A37" s="19" t="s">
        <v>237</v>
      </c>
      <c r="B37" s="132"/>
      <c r="C37" s="27"/>
      <c r="D37" s="27"/>
      <c r="E37" s="27"/>
    </row>
    <row r="38" spans="1:29" x14ac:dyDescent="0.25">
      <c r="A38" s="20" t="s">
        <v>47</v>
      </c>
      <c r="B38" s="26" t="s">
        <v>28</v>
      </c>
      <c r="C38" s="26">
        <v>2020</v>
      </c>
      <c r="D38" s="26">
        <f t="shared" ref="D38:AC38" si="12">C38+1</f>
        <v>2021</v>
      </c>
      <c r="E38" s="26">
        <f t="shared" si="12"/>
        <v>2022</v>
      </c>
      <c r="F38" s="26">
        <f t="shared" si="12"/>
        <v>2023</v>
      </c>
      <c r="G38" s="26">
        <f t="shared" si="12"/>
        <v>2024</v>
      </c>
      <c r="H38" s="26">
        <f t="shared" si="12"/>
        <v>2025</v>
      </c>
      <c r="I38" s="26">
        <f t="shared" si="12"/>
        <v>2026</v>
      </c>
      <c r="J38" s="26">
        <f t="shared" si="12"/>
        <v>2027</v>
      </c>
      <c r="K38" s="26">
        <f t="shared" si="12"/>
        <v>2028</v>
      </c>
      <c r="L38" s="26">
        <f t="shared" si="12"/>
        <v>2029</v>
      </c>
      <c r="M38" s="26">
        <f t="shared" si="12"/>
        <v>2030</v>
      </c>
      <c r="N38" s="26">
        <f t="shared" si="12"/>
        <v>2031</v>
      </c>
      <c r="O38" s="26">
        <f t="shared" si="12"/>
        <v>2032</v>
      </c>
      <c r="P38" s="26">
        <f t="shared" si="12"/>
        <v>2033</v>
      </c>
      <c r="Q38" s="26">
        <f t="shared" si="12"/>
        <v>2034</v>
      </c>
      <c r="R38" s="26">
        <f t="shared" si="12"/>
        <v>2035</v>
      </c>
      <c r="S38" s="26">
        <f t="shared" si="12"/>
        <v>2036</v>
      </c>
      <c r="T38" s="26">
        <f t="shared" si="12"/>
        <v>2037</v>
      </c>
      <c r="U38" s="26">
        <f t="shared" si="12"/>
        <v>2038</v>
      </c>
      <c r="V38" s="26">
        <f t="shared" si="12"/>
        <v>2039</v>
      </c>
      <c r="W38" s="26">
        <f t="shared" si="12"/>
        <v>2040</v>
      </c>
      <c r="X38" s="26">
        <f t="shared" si="12"/>
        <v>2041</v>
      </c>
      <c r="Y38" s="26">
        <f t="shared" si="12"/>
        <v>2042</v>
      </c>
      <c r="Z38" s="26">
        <f t="shared" si="12"/>
        <v>2043</v>
      </c>
      <c r="AA38" s="26">
        <f t="shared" si="12"/>
        <v>2044</v>
      </c>
      <c r="AB38" s="26">
        <f t="shared" si="12"/>
        <v>2045</v>
      </c>
      <c r="AC38" s="26">
        <f t="shared" si="12"/>
        <v>2046</v>
      </c>
    </row>
    <row r="39" spans="1:29" x14ac:dyDescent="0.25">
      <c r="A39" s="21" t="s">
        <v>43</v>
      </c>
      <c r="B39" s="148">
        <f t="shared" ref="B39:B48" si="13">SUM(C39:AC39)/10^6</f>
        <v>1.5350329348987009</v>
      </c>
      <c r="C39" s="149">
        <f>'Accident Impacts (Calc3)'!D28</f>
        <v>0</v>
      </c>
      <c r="D39" s="149">
        <f>'Accident Impacts (Calc3)'!E28</f>
        <v>0</v>
      </c>
      <c r="E39" s="149">
        <f>'Accident Impacts (Calc3)'!F28</f>
        <v>0</v>
      </c>
      <c r="F39" s="149">
        <f>'Accident Impacts (Calc3)'!G28</f>
        <v>0</v>
      </c>
      <c r="G39" s="149">
        <f>'Accident Impacts (Calc3)'!H28</f>
        <v>0</v>
      </c>
      <c r="H39" s="149">
        <f>'Accident Impacts (Calc3)'!I28</f>
        <v>0</v>
      </c>
      <c r="I39" s="149">
        <f>'Accident Impacts (Calc3)'!J28</f>
        <v>0</v>
      </c>
      <c r="J39" s="149">
        <f>'Accident Impacts (Calc3)'!K28</f>
        <v>135417.05592275225</v>
      </c>
      <c r="K39" s="149">
        <f>'Accident Impacts (Calc3)'!L28</f>
        <v>126557.99618948808</v>
      </c>
      <c r="L39" s="149">
        <f>'Accident Impacts (Calc3)'!M28</f>
        <v>118278.50111167111</v>
      </c>
      <c r="M39" s="149">
        <f>'Accident Impacts (Calc3)'!N28</f>
        <v>110540.65524455243</v>
      </c>
      <c r="N39" s="149">
        <f>'Accident Impacts (Calc3)'!O28</f>
        <v>103309.02359303964</v>
      </c>
      <c r="O39" s="149">
        <f>'Accident Impacts (Calc3)'!P28</f>
        <v>96550.489339289401</v>
      </c>
      <c r="P39" s="149">
        <f>'Accident Impacts (Calc3)'!Q28</f>
        <v>90234.102186251766</v>
      </c>
      <c r="Q39" s="149">
        <f>'Accident Impacts (Calc3)'!R28</f>
        <v>84330.93662266522</v>
      </c>
      <c r="R39" s="149">
        <f>'Accident Impacts (Calc3)'!S28</f>
        <v>78813.959460434766</v>
      </c>
      <c r="S39" s="149">
        <f>'Accident Impacts (Calc3)'!T28</f>
        <v>73657.906037789508</v>
      </c>
      <c r="T39" s="149">
        <f>'Accident Impacts (Calc3)'!U28</f>
        <v>68839.164521298619</v>
      </c>
      <c r="U39" s="149">
        <f>'Accident Impacts (Calc3)'!V28</f>
        <v>64335.667776914583</v>
      </c>
      <c r="V39" s="149">
        <f>'Accident Impacts (Calc3)'!W28</f>
        <v>60126.792314873441</v>
      </c>
      <c r="W39" s="149">
        <f>'Accident Impacts (Calc3)'!X28</f>
        <v>56193.26384567612</v>
      </c>
      <c r="X39" s="149">
        <f>'Accident Impacts (Calc3)'!Y28</f>
        <v>52517.06901465058</v>
      </c>
      <c r="Y39" s="149">
        <f>'Accident Impacts (Calc3)'!Z28</f>
        <v>49081.372910888393</v>
      </c>
      <c r="Z39" s="149">
        <f>'Accident Impacts (Calc3)'!AA28</f>
        <v>45870.441972792883</v>
      </c>
      <c r="AA39" s="149">
        <f>'Accident Impacts (Calc3)'!AB28</f>
        <v>42869.571937189612</v>
      </c>
      <c r="AB39" s="149">
        <f>'Accident Impacts (Calc3)'!AC28</f>
        <v>40065.020502046362</v>
      </c>
      <c r="AC39" s="149">
        <f>'Accident Impacts (Calc3)'!AD28</f>
        <v>37443.944394435857</v>
      </c>
    </row>
    <row r="40" spans="1:29" x14ac:dyDescent="0.25">
      <c r="A40" s="21" t="s">
        <v>368</v>
      </c>
      <c r="B40" s="148">
        <f t="shared" si="13"/>
        <v>0.17318436201379245</v>
      </c>
      <c r="C40" s="149">
        <f>'Ped Facility Benefits'!D18</f>
        <v>0</v>
      </c>
      <c r="D40" s="149">
        <f>'Ped Facility Benefits'!E18</f>
        <v>0</v>
      </c>
      <c r="E40" s="149">
        <f>'Ped Facility Benefits'!F18</f>
        <v>0</v>
      </c>
      <c r="F40" s="149">
        <f>'Ped Facility Benefits'!G18</f>
        <v>0</v>
      </c>
      <c r="G40" s="149">
        <f>'Ped Facility Benefits'!H18</f>
        <v>0</v>
      </c>
      <c r="H40" s="149">
        <f>'Ped Facility Benefits'!I18</f>
        <v>0</v>
      </c>
      <c r="I40" s="149">
        <f>'Ped Facility Benefits'!J18</f>
        <v>0</v>
      </c>
      <c r="J40" s="149">
        <f>'Ped Facility Benefits'!K18</f>
        <v>9869.3392302218381</v>
      </c>
      <c r="K40" s="149">
        <f>'Ped Facility Benefits'!L18</f>
        <v>9730.9840073682608</v>
      </c>
      <c r="L40" s="149">
        <f>'Ped Facility Benefits'!M18</f>
        <v>9594.5683437135667</v>
      </c>
      <c r="M40" s="149">
        <f>'Ped Facility Benefits'!N18</f>
        <v>9460.0650491755241</v>
      </c>
      <c r="N40" s="149">
        <f>'Ped Facility Benefits'!O18</f>
        <v>9327.4473148412853</v>
      </c>
      <c r="O40" s="149">
        <f>'Ped Facility Benefits'!P18</f>
        <v>9196.6887076238872</v>
      </c>
      <c r="P40" s="149">
        <f>'Ped Facility Benefits'!Q18</f>
        <v>9067.7631649936429</v>
      </c>
      <c r="Q40" s="149">
        <f>'Ped Facility Benefits'!R18</f>
        <v>8940.6449897834518</v>
      </c>
      <c r="R40" s="149">
        <f>'Ped Facility Benefits'!S18</f>
        <v>8815.3088450668602</v>
      </c>
      <c r="S40" s="149">
        <f>'Ped Facility Benefits'!T18</f>
        <v>8691.7297491079808</v>
      </c>
      <c r="T40" s="149">
        <f>'Ped Facility Benefits'!U18</f>
        <v>8569.8830703821677</v>
      </c>
      <c r="U40" s="149">
        <f>'Ped Facility Benefits'!V18</f>
        <v>8449.7445226665277</v>
      </c>
      <c r="V40" s="149">
        <f>'Ped Facility Benefits'!W18</f>
        <v>8331.290160199238</v>
      </c>
      <c r="W40" s="149">
        <f>'Ped Facility Benefits'!X18</f>
        <v>8214.4963729067258</v>
      </c>
      <c r="X40" s="149">
        <f>'Ped Facility Benefits'!Y18</f>
        <v>8099.3398816977515</v>
      </c>
      <c r="Y40" s="149">
        <f>'Ped Facility Benefits'!Z18</f>
        <v>7985.797733823485</v>
      </c>
      <c r="Z40" s="149">
        <f>'Ped Facility Benefits'!AA18</f>
        <v>7873.8472983025931</v>
      </c>
      <c r="AA40" s="149">
        <f>'Ped Facility Benefits'!AB18</f>
        <v>7763.4662614105009</v>
      </c>
      <c r="AB40" s="149">
        <f>'Ped Facility Benefits'!AC18</f>
        <v>7654.6326222318467</v>
      </c>
      <c r="AC40" s="149">
        <f>'Ped Facility Benefits'!AD18</f>
        <v>7547.3246882753274</v>
      </c>
    </row>
    <row r="41" spans="1:29" x14ac:dyDescent="0.25">
      <c r="A41" s="21" t="s">
        <v>369</v>
      </c>
      <c r="B41" s="148">
        <f t="shared" si="13"/>
        <v>4.566935768660009E-2</v>
      </c>
      <c r="C41" s="149">
        <f>'CycFac Benefits'!D20</f>
        <v>0</v>
      </c>
      <c r="D41" s="149">
        <f>'CycFac Benefits'!E20</f>
        <v>0</v>
      </c>
      <c r="E41" s="149">
        <f>'CycFac Benefits'!F20</f>
        <v>0</v>
      </c>
      <c r="F41" s="149">
        <f>'CycFac Benefits'!G20</f>
        <v>0</v>
      </c>
      <c r="G41" s="149">
        <f>'CycFac Benefits'!H20</f>
        <v>0</v>
      </c>
      <c r="H41" s="149">
        <f>'CycFac Benefits'!I20</f>
        <v>0</v>
      </c>
      <c r="I41" s="149">
        <f>'CycFac Benefits'!J20</f>
        <v>0</v>
      </c>
      <c r="J41" s="149">
        <f>'CycFac Benefits'!K20</f>
        <v>2602.5813081177589</v>
      </c>
      <c r="K41" s="149">
        <f>'CycFac Benefits'!L20</f>
        <v>2566.0965234245191</v>
      </c>
      <c r="L41" s="149">
        <f>'CycFac Benefits'!M20</f>
        <v>2530.1232076755769</v>
      </c>
      <c r="M41" s="149">
        <f>'CycFac Benefits'!N20</f>
        <v>2494.6541907455453</v>
      </c>
      <c r="N41" s="149">
        <f>'CycFac Benefits'!O20</f>
        <v>2459.6824030248131</v>
      </c>
      <c r="O41" s="149">
        <f>'CycFac Benefits'!P20</f>
        <v>2425.200874010447</v>
      </c>
      <c r="P41" s="149">
        <f>'CycFac Benefits'!Q20</f>
        <v>2391.2027309168416</v>
      </c>
      <c r="Q41" s="149">
        <f>'CycFac Benefits'!R20</f>
        <v>2357.6811973058584</v>
      </c>
      <c r="R41" s="149">
        <f>'CycFac Benefits'!S20</f>
        <v>2324.6295917361495</v>
      </c>
      <c r="S41" s="149">
        <f>'CycFac Benefits'!T20</f>
        <v>2292.041326431437</v>
      </c>
      <c r="T41" s="149">
        <f>'CycFac Benefits'!U20</f>
        <v>2259.909905967445</v>
      </c>
      <c r="U41" s="149">
        <f>'CycFac Benefits'!V20</f>
        <v>2228.2289259772469</v>
      </c>
      <c r="V41" s="149">
        <f>'CycFac Benefits'!W20</f>
        <v>2196.9920718747621</v>
      </c>
      <c r="W41" s="149">
        <f>'CycFac Benefits'!X20</f>
        <v>2166.193117596144</v>
      </c>
      <c r="X41" s="149">
        <f>'CycFac Benefits'!Y20</f>
        <v>2135.825924358815</v>
      </c>
      <c r="Y41" s="149">
        <f>'CycFac Benefits'!Z20</f>
        <v>2105.8844394378962</v>
      </c>
      <c r="Z41" s="149">
        <f>'CycFac Benefits'!AA20</f>
        <v>2076.3626949597951</v>
      </c>
      <c r="AA41" s="149">
        <f>'CycFac Benefits'!AB20</f>
        <v>2047.2548067126947</v>
      </c>
      <c r="AB41" s="149">
        <f>'CycFac Benefits'!AC20</f>
        <v>2018.5549729737315</v>
      </c>
      <c r="AC41" s="149">
        <f>'CycFac Benefits'!AD20</f>
        <v>1990.2574733526046</v>
      </c>
    </row>
    <row r="42" spans="1:29" x14ac:dyDescent="0.25">
      <c r="A42" s="22" t="s">
        <v>287</v>
      </c>
      <c r="B42" s="148">
        <f t="shared" si="13"/>
        <v>5.5760843321305789</v>
      </c>
      <c r="C42" s="149">
        <f>'Recreational Benefits'!B35</f>
        <v>0</v>
      </c>
      <c r="D42" s="149">
        <f>'Recreational Benefits'!C35</f>
        <v>0</v>
      </c>
      <c r="E42" s="149">
        <f>'Recreational Benefits'!D35</f>
        <v>0</v>
      </c>
      <c r="F42" s="149">
        <f>'Recreational Benefits'!E35</f>
        <v>0</v>
      </c>
      <c r="G42" s="149">
        <f>'Recreational Benefits'!F35</f>
        <v>0</v>
      </c>
      <c r="H42" s="149">
        <f>'Recreational Benefits'!G35</f>
        <v>0</v>
      </c>
      <c r="I42" s="149">
        <f>'Recreational Benefits'!H35</f>
        <v>0</v>
      </c>
      <c r="J42" s="149">
        <f>'Recreational Benefits'!I35</f>
        <v>158713.86783559283</v>
      </c>
      <c r="K42" s="149">
        <f>'Recreational Benefits'!J35</f>
        <v>169838.67165584469</v>
      </c>
      <c r="L42" s="149">
        <f>'Recreational Benefits'!K35</f>
        <v>181181.81274733512</v>
      </c>
      <c r="M42" s="149">
        <f>'Recreational Benefits'!L35</f>
        <v>192750.72448845746</v>
      </c>
      <c r="N42" s="149">
        <f>'Recreational Benefits'!M35</f>
        <v>204553.03028074704</v>
      </c>
      <c r="O42" s="149">
        <f>'Recreational Benefits'!N35</f>
        <v>216596.54913442716</v>
      </c>
      <c r="P42" s="149">
        <f>'Recreational Benefits'!O35</f>
        <v>228889.30140694545</v>
      </c>
      <c r="Q42" s="149">
        <f>'Recreational Benefits'!P35</f>
        <v>241439.51469884056</v>
      </c>
      <c r="R42" s="149">
        <f>'Recreational Benefits'!Q35</f>
        <v>254255.62991139948</v>
      </c>
      <c r="S42" s="149">
        <f>'Recreational Benefits'!R35</f>
        <v>267346.30747069273</v>
      </c>
      <c r="T42" s="149">
        <f>'Recreational Benefits'!S35</f>
        <v>280720.4337226986</v>
      </c>
      <c r="U42" s="149">
        <f>'Recreational Benefits'!T35</f>
        <v>294387.12750436342</v>
      </c>
      <c r="V42" s="149">
        <f>'Recreational Benefits'!U35</f>
        <v>308355.74689557572</v>
      </c>
      <c r="W42" s="149">
        <f>'Recreational Benefits'!V35</f>
        <v>322635.8961571749</v>
      </c>
      <c r="X42" s="149">
        <f>'Recreational Benefits'!W35</f>
        <v>337237.43286025518</v>
      </c>
      <c r="Y42" s="149">
        <f>'Recreational Benefits'!X35</f>
        <v>352170.47521217389</v>
      </c>
      <c r="Z42" s="149">
        <f>'Recreational Benefits'!Y35</f>
        <v>367445.409584824</v>
      </c>
      <c r="AA42" s="149">
        <f>'Recreational Benefits'!Z35</f>
        <v>383072.89825088542</v>
      </c>
      <c r="AB42" s="149">
        <f>'Recreational Benefits'!AA35</f>
        <v>399063.88733392942</v>
      </c>
      <c r="AC42" s="149">
        <f>'Recreational Benefits'!AB35</f>
        <v>415429.6149784163</v>
      </c>
    </row>
    <row r="43" spans="1:29" x14ac:dyDescent="0.25">
      <c r="A43" s="21" t="s">
        <v>288</v>
      </c>
      <c r="B43" s="246">
        <f t="shared" si="13"/>
        <v>2.2156405267357813</v>
      </c>
      <c r="C43" s="149">
        <f>'Health Benefits'!B17</f>
        <v>0</v>
      </c>
      <c r="D43" s="149">
        <f>'Health Benefits'!C17</f>
        <v>0</v>
      </c>
      <c r="E43" s="149">
        <f>'Health Benefits'!D17</f>
        <v>0</v>
      </c>
      <c r="F43" s="149">
        <f>'Health Benefits'!E17</f>
        <v>0</v>
      </c>
      <c r="G43" s="149">
        <f>'Health Benefits'!F17</f>
        <v>0</v>
      </c>
      <c r="H43" s="149">
        <f>'Health Benefits'!G17</f>
        <v>0</v>
      </c>
      <c r="I43" s="149">
        <f>'Health Benefits'!H17</f>
        <v>0</v>
      </c>
      <c r="J43" s="149">
        <f>'Health Benefits'!I17</f>
        <v>126263.75566658461</v>
      </c>
      <c r="K43" s="149">
        <f>'Health Benefits'!J17</f>
        <v>124493.70301705305</v>
      </c>
      <c r="L43" s="149">
        <f>'Health Benefits'!K17</f>
        <v>122748.46418971117</v>
      </c>
      <c r="M43" s="149">
        <f>'Health Benefits'!L17</f>
        <v>121027.69132723859</v>
      </c>
      <c r="N43" s="149">
        <f>'Health Benefits'!M17</f>
        <v>119331.04144881932</v>
      </c>
      <c r="O43" s="149">
        <f>'Health Benefits'!N17</f>
        <v>117658.17638177983</v>
      </c>
      <c r="P43" s="149">
        <f>'Health Benefits'!O17</f>
        <v>116008.76269418477</v>
      </c>
      <c r="Q43" s="149">
        <f>'Health Benefits'!P17</f>
        <v>114382.47162837844</v>
      </c>
      <c r="R43" s="149">
        <f>'Health Benefits'!Q17</f>
        <v>112778.97903545722</v>
      </c>
      <c r="S43" s="149">
        <f>'Health Benefits'!R17</f>
        <v>111197.96531066111</v>
      </c>
      <c r="T43" s="149">
        <f>'Health Benefits'!S17</f>
        <v>109639.11532967052</v>
      </c>
      <c r="U43" s="149">
        <f>'Health Benefits'!T17</f>
        <v>108102.11838579662</v>
      </c>
      <c r="V43" s="149">
        <f>'Health Benefits'!U17</f>
        <v>106586.6681280518</v>
      </c>
      <c r="W43" s="149">
        <f>'Health Benefits'!V17</f>
        <v>105092.46250008844</v>
      </c>
      <c r="X43" s="149">
        <f>'Health Benefits'!W17</f>
        <v>103619.20367999375</v>
      </c>
      <c r="Y43" s="149">
        <f>'Health Benefits'!X17</f>
        <v>102166.59802092842</v>
      </c>
      <c r="Z43" s="149">
        <f>'Health Benefits'!Y17</f>
        <v>100734.35599259763</v>
      </c>
      <c r="AA43" s="149">
        <f>'Health Benefits'!Z17</f>
        <v>99322.192123542511</v>
      </c>
      <c r="AB43" s="149">
        <f>'Health Benefits'!AA17</f>
        <v>97929.824944240507</v>
      </c>
      <c r="AC43" s="149">
        <f>'Health Benefits'!AB17</f>
        <v>96556.97693100349</v>
      </c>
    </row>
    <row r="44" spans="1:29" x14ac:dyDescent="0.25">
      <c r="A44" s="22" t="s">
        <v>48</v>
      </c>
      <c r="B44" s="148">
        <f>SUM(C44:AC44)/10^6</f>
        <v>0.3918875018811645</v>
      </c>
      <c r="C44" s="149">
        <f>'Project Costs'!D42</f>
        <v>0</v>
      </c>
      <c r="D44" s="149">
        <f>'Project Costs'!E42</f>
        <v>0</v>
      </c>
      <c r="E44" s="149">
        <f>'Project Costs'!F42</f>
        <v>0</v>
      </c>
      <c r="F44" s="149">
        <f>'Project Costs'!G42</f>
        <v>408.14893844542593</v>
      </c>
      <c r="G44" s="149">
        <f>'Project Costs'!H42</f>
        <v>381.4476060237626</v>
      </c>
      <c r="H44" s="149">
        <f>'Project Costs'!I42</f>
        <v>356.49308974183418</v>
      </c>
      <c r="I44" s="149">
        <f>'Project Costs'!J42</f>
        <v>333.17111190825625</v>
      </c>
      <c r="J44" s="149">
        <f>'Project Costs'!K42</f>
        <v>311.37487094229556</v>
      </c>
      <c r="K44" s="149">
        <f>'Project Costs'!L42</f>
        <v>-2619.0409705426728</v>
      </c>
      <c r="L44" s="149">
        <f>'Project Costs'!M42</f>
        <v>-2447.7018416286664</v>
      </c>
      <c r="M44" s="149">
        <f>'Project Costs'!N42</f>
        <v>506061.72032011155</v>
      </c>
      <c r="N44" s="149">
        <f>'Project Costs'!O42</f>
        <v>-2375.4639819379336</v>
      </c>
      <c r="O44" s="149">
        <f>'Project Costs'!P42</f>
        <v>-35520.956739258821</v>
      </c>
      <c r="P44" s="149">
        <f>'Project Costs'!Q42</f>
        <v>-2074.822239442688</v>
      </c>
      <c r="Q44" s="149">
        <f>'Project Costs'!R42</f>
        <v>-1939.0862050866244</v>
      </c>
      <c r="R44" s="149">
        <f>'Project Costs'!S42</f>
        <v>-1812.2300982117983</v>
      </c>
      <c r="S44" s="149">
        <f>'Project Costs'!T42</f>
        <v>-1693.6729889829894</v>
      </c>
      <c r="T44" s="149">
        <f>'Project Costs'!U42</f>
        <v>-25325.951237128815</v>
      </c>
      <c r="U44" s="149">
        <f>'Project Costs'!V42</f>
        <v>-1479.3195816079913</v>
      </c>
      <c r="V44" s="149">
        <f>'Project Costs'!W42</f>
        <v>-1382.5416650541974</v>
      </c>
      <c r="W44" s="149">
        <f>'Project Costs'!X42</f>
        <v>-1292.0950140693435</v>
      </c>
      <c r="X44" s="149">
        <f>'Project Costs'!Y42</f>
        <v>-1207.5654337096669</v>
      </c>
      <c r="Y44" s="149">
        <f>'Project Costs'!Z42</f>
        <v>-18057.053214350159</v>
      </c>
      <c r="Z44" s="149">
        <f>'Project Costs'!AA42</f>
        <v>-1054.7344167260605</v>
      </c>
      <c r="AA44" s="149">
        <f>'Project Costs'!AB42</f>
        <v>-985.73309974398182</v>
      </c>
      <c r="AB44" s="149">
        <f>'Project Costs'!AC42</f>
        <v>-921.24588761119787</v>
      </c>
      <c r="AC44" s="149">
        <f>'Project Costs'!AD42</f>
        <v>-13775.639440915111</v>
      </c>
    </row>
    <row r="45" spans="1:29" x14ac:dyDescent="0.25">
      <c r="A45" s="22" t="s">
        <v>49</v>
      </c>
      <c r="B45" s="148">
        <f>SUM(C45:AC45)/10^6</f>
        <v>-9.8755127481478411</v>
      </c>
      <c r="C45" s="149">
        <f>'Project Costs'!D22</f>
        <v>0</v>
      </c>
      <c r="D45" s="149">
        <f>'Project Costs'!E22</f>
        <v>0</v>
      </c>
      <c r="E45" s="149">
        <f>'Project Costs'!F22</f>
        <v>-239380.0811062979</v>
      </c>
      <c r="F45" s="149">
        <f>'Project Costs'!G22</f>
        <v>-537221.65275331237</v>
      </c>
      <c r="G45" s="149">
        <f>'Project Costs'!H22</f>
        <v>-132052.94754658299</v>
      </c>
      <c r="H45" s="149">
        <f>'Project Costs'!I22</f>
        <v>-1429675.6641882027</v>
      </c>
      <c r="I45" s="149">
        <f>'Project Costs'!J22</f>
        <v>-4926192.9333398845</v>
      </c>
      <c r="J45" s="149">
        <f>'Project Costs'!K22</f>
        <v>-2610989.4692135607</v>
      </c>
      <c r="K45" s="149">
        <f>'Project Costs'!L22</f>
        <v>0</v>
      </c>
      <c r="L45" s="149">
        <f>'Project Costs'!M22</f>
        <v>0</v>
      </c>
      <c r="M45" s="149">
        <f>'Project Costs'!N22</f>
        <v>0</v>
      </c>
      <c r="N45" s="149">
        <f>'Project Costs'!O22</f>
        <v>0</v>
      </c>
      <c r="O45" s="149">
        <f>'Project Costs'!P22</f>
        <v>0</v>
      </c>
      <c r="P45" s="149">
        <f>'Project Costs'!Q22</f>
        <v>0</v>
      </c>
      <c r="Q45" s="149">
        <f>'Project Costs'!R22</f>
        <v>0</v>
      </c>
      <c r="R45" s="149">
        <f>'Project Costs'!S22</f>
        <v>0</v>
      </c>
      <c r="S45" s="149">
        <f>'Project Costs'!T22</f>
        <v>0</v>
      </c>
      <c r="T45" s="149">
        <f>'Project Costs'!U22</f>
        <v>0</v>
      </c>
      <c r="U45" s="149">
        <f>'Project Costs'!V22</f>
        <v>0</v>
      </c>
      <c r="V45" s="149">
        <f>'Project Costs'!W22</f>
        <v>0</v>
      </c>
      <c r="W45" s="149">
        <f>'Project Costs'!X22</f>
        <v>0</v>
      </c>
      <c r="X45" s="149">
        <f>'Project Costs'!Y22</f>
        <v>0</v>
      </c>
      <c r="Y45" s="149">
        <f>'Project Costs'!Z22</f>
        <v>0</v>
      </c>
      <c r="Z45" s="149">
        <f>'Project Costs'!AA22</f>
        <v>0</v>
      </c>
      <c r="AA45" s="149">
        <f>'Project Costs'!AB22</f>
        <v>0</v>
      </c>
      <c r="AB45" s="149">
        <f>'Project Costs'!AC22</f>
        <v>0</v>
      </c>
      <c r="AC45" s="149">
        <f>'Project Costs'!AD22</f>
        <v>0</v>
      </c>
    </row>
    <row r="46" spans="1:29" x14ac:dyDescent="0.25">
      <c r="A46" s="23" t="s">
        <v>44</v>
      </c>
      <c r="B46" s="150">
        <f t="shared" si="13"/>
        <v>9.5456115134654542</v>
      </c>
      <c r="C46" s="151">
        <f t="shared" ref="C46:AC46" si="14">SUM(C39:C43)</f>
        <v>0</v>
      </c>
      <c r="D46" s="151">
        <f t="shared" si="14"/>
        <v>0</v>
      </c>
      <c r="E46" s="151">
        <f t="shared" si="14"/>
        <v>0</v>
      </c>
      <c r="F46" s="151">
        <f t="shared" si="14"/>
        <v>0</v>
      </c>
      <c r="G46" s="151">
        <f t="shared" si="14"/>
        <v>0</v>
      </c>
      <c r="H46" s="151">
        <f t="shared" si="14"/>
        <v>0</v>
      </c>
      <c r="I46" s="151">
        <f t="shared" si="14"/>
        <v>0</v>
      </c>
      <c r="J46" s="151">
        <f t="shared" si="14"/>
        <v>432866.59996326925</v>
      </c>
      <c r="K46" s="151">
        <f t="shared" si="14"/>
        <v>433187.45139317866</v>
      </c>
      <c r="L46" s="151">
        <f t="shared" si="14"/>
        <v>434333.46960010659</v>
      </c>
      <c r="M46" s="151">
        <f t="shared" si="14"/>
        <v>436273.79030016949</v>
      </c>
      <c r="N46" s="151">
        <f t="shared" si="14"/>
        <v>438980.22504047211</v>
      </c>
      <c r="O46" s="151">
        <f t="shared" si="14"/>
        <v>442427.10443713074</v>
      </c>
      <c r="P46" s="151">
        <f t="shared" si="14"/>
        <v>446591.13218329247</v>
      </c>
      <c r="Q46" s="151">
        <f t="shared" si="14"/>
        <v>451451.24913697352</v>
      </c>
      <c r="R46" s="151">
        <f t="shared" si="14"/>
        <v>456988.50684409449</v>
      </c>
      <c r="S46" s="151">
        <f t="shared" si="14"/>
        <v>463185.9498946828</v>
      </c>
      <c r="T46" s="151">
        <f t="shared" si="14"/>
        <v>470028.5065500174</v>
      </c>
      <c r="U46" s="151">
        <f t="shared" si="14"/>
        <v>477502.88711571839</v>
      </c>
      <c r="V46" s="151">
        <f t="shared" si="14"/>
        <v>485597.48957057495</v>
      </c>
      <c r="W46" s="151">
        <f t="shared" si="14"/>
        <v>494302.3119934423</v>
      </c>
      <c r="X46" s="151">
        <f t="shared" si="14"/>
        <v>503608.87136095611</v>
      </c>
      <c r="Y46" s="151">
        <f t="shared" si="14"/>
        <v>513510.12831725203</v>
      </c>
      <c r="Z46" s="151">
        <f t="shared" si="14"/>
        <v>524000.41754347691</v>
      </c>
      <c r="AA46" s="151">
        <f t="shared" si="14"/>
        <v>535075.38337974076</v>
      </c>
      <c r="AB46" s="151">
        <f t="shared" si="14"/>
        <v>546731.92037542188</v>
      </c>
      <c r="AC46" s="151">
        <f t="shared" si="14"/>
        <v>558968.11846548354</v>
      </c>
    </row>
    <row r="47" spans="1:29" x14ac:dyDescent="0.25">
      <c r="A47" s="23" t="s">
        <v>45</v>
      </c>
      <c r="B47" s="150">
        <f t="shared" si="13"/>
        <v>-9.4836252462666746</v>
      </c>
      <c r="C47" s="151">
        <f>SUM(C44:C45)</f>
        <v>0</v>
      </c>
      <c r="D47" s="151">
        <f t="shared" ref="D47:AC47" si="15">SUM(D44:D45)</f>
        <v>0</v>
      </c>
      <c r="E47" s="151">
        <f t="shared" si="15"/>
        <v>-239380.0811062979</v>
      </c>
      <c r="F47" s="151">
        <f t="shared" si="15"/>
        <v>-536813.503814867</v>
      </c>
      <c r="G47" s="151">
        <f t="shared" si="15"/>
        <v>-131671.49994055924</v>
      </c>
      <c r="H47" s="151">
        <f t="shared" si="15"/>
        <v>-1429319.1710984609</v>
      </c>
      <c r="I47" s="151">
        <f t="shared" si="15"/>
        <v>-4925859.7622279767</v>
      </c>
      <c r="J47" s="151">
        <f t="shared" si="15"/>
        <v>-2610678.0943426182</v>
      </c>
      <c r="K47" s="151">
        <f t="shared" si="15"/>
        <v>-2619.0409705426728</v>
      </c>
      <c r="L47" s="151">
        <f t="shared" si="15"/>
        <v>-2447.7018416286664</v>
      </c>
      <c r="M47" s="151">
        <f t="shared" si="15"/>
        <v>506061.72032011155</v>
      </c>
      <c r="N47" s="151">
        <f t="shared" si="15"/>
        <v>-2375.4639819379336</v>
      </c>
      <c r="O47" s="151">
        <f t="shared" si="15"/>
        <v>-35520.956739258821</v>
      </c>
      <c r="P47" s="151">
        <f t="shared" si="15"/>
        <v>-2074.822239442688</v>
      </c>
      <c r="Q47" s="151">
        <f t="shared" si="15"/>
        <v>-1939.0862050866244</v>
      </c>
      <c r="R47" s="151">
        <f t="shared" si="15"/>
        <v>-1812.2300982117983</v>
      </c>
      <c r="S47" s="151">
        <f t="shared" si="15"/>
        <v>-1693.6729889829894</v>
      </c>
      <c r="T47" s="151">
        <f t="shared" si="15"/>
        <v>-25325.951237128815</v>
      </c>
      <c r="U47" s="151">
        <f t="shared" si="15"/>
        <v>-1479.3195816079913</v>
      </c>
      <c r="V47" s="151">
        <f t="shared" si="15"/>
        <v>-1382.5416650541974</v>
      </c>
      <c r="W47" s="151">
        <f t="shared" si="15"/>
        <v>-1292.0950140693435</v>
      </c>
      <c r="X47" s="151">
        <f t="shared" si="15"/>
        <v>-1207.5654337096669</v>
      </c>
      <c r="Y47" s="151">
        <f t="shared" si="15"/>
        <v>-18057.053214350159</v>
      </c>
      <c r="Z47" s="151">
        <f t="shared" si="15"/>
        <v>-1054.7344167260605</v>
      </c>
      <c r="AA47" s="151">
        <f t="shared" si="15"/>
        <v>-985.73309974398182</v>
      </c>
      <c r="AB47" s="151">
        <f t="shared" si="15"/>
        <v>-921.24588761119787</v>
      </c>
      <c r="AC47" s="151">
        <f t="shared" si="15"/>
        <v>-13775.639440915111</v>
      </c>
    </row>
    <row r="48" spans="1:29" x14ac:dyDescent="0.25">
      <c r="A48" s="24" t="s">
        <v>50</v>
      </c>
      <c r="B48" s="152">
        <f t="shared" si="13"/>
        <v>6.1986267198777173E-2</v>
      </c>
      <c r="C48" s="153">
        <f>SUM(C46:C47)</f>
        <v>0</v>
      </c>
      <c r="D48" s="153">
        <f t="shared" ref="D48:AC48" si="16">SUM(D46:D47)</f>
        <v>0</v>
      </c>
      <c r="E48" s="153">
        <f t="shared" si="16"/>
        <v>-239380.0811062979</v>
      </c>
      <c r="F48" s="153">
        <f t="shared" si="16"/>
        <v>-536813.503814867</v>
      </c>
      <c r="G48" s="153">
        <f t="shared" si="16"/>
        <v>-131671.49994055924</v>
      </c>
      <c r="H48" s="153">
        <f t="shared" si="16"/>
        <v>-1429319.1710984609</v>
      </c>
      <c r="I48" s="153">
        <f t="shared" si="16"/>
        <v>-4925859.7622279767</v>
      </c>
      <c r="J48" s="153">
        <f t="shared" si="16"/>
        <v>-2177811.4943793491</v>
      </c>
      <c r="K48" s="153">
        <f t="shared" si="16"/>
        <v>430568.41042263596</v>
      </c>
      <c r="L48" s="153">
        <f t="shared" si="16"/>
        <v>431885.76775847794</v>
      </c>
      <c r="M48" s="153">
        <f t="shared" si="16"/>
        <v>942335.5106202811</v>
      </c>
      <c r="N48" s="153">
        <f t="shared" si="16"/>
        <v>436604.7610585342</v>
      </c>
      <c r="O48" s="153">
        <f t="shared" si="16"/>
        <v>406906.1476978719</v>
      </c>
      <c r="P48" s="153">
        <f t="shared" si="16"/>
        <v>444516.3099438498</v>
      </c>
      <c r="Q48" s="153">
        <f t="shared" si="16"/>
        <v>449512.16293188691</v>
      </c>
      <c r="R48" s="153">
        <f t="shared" si="16"/>
        <v>455176.2767458827</v>
      </c>
      <c r="S48" s="153">
        <f t="shared" si="16"/>
        <v>461492.27690569981</v>
      </c>
      <c r="T48" s="153">
        <f t="shared" si="16"/>
        <v>444702.55531288858</v>
      </c>
      <c r="U48" s="153">
        <f t="shared" si="16"/>
        <v>476023.56753411039</v>
      </c>
      <c r="V48" s="153">
        <f t="shared" si="16"/>
        <v>484214.94790552073</v>
      </c>
      <c r="W48" s="153">
        <f t="shared" si="16"/>
        <v>493010.21697937296</v>
      </c>
      <c r="X48" s="153">
        <f t="shared" si="16"/>
        <v>502401.30592724646</v>
      </c>
      <c r="Y48" s="153">
        <f t="shared" si="16"/>
        <v>495453.0751029019</v>
      </c>
      <c r="Z48" s="153">
        <f t="shared" si="16"/>
        <v>522945.68312675087</v>
      </c>
      <c r="AA48" s="153">
        <f t="shared" si="16"/>
        <v>534089.6502799968</v>
      </c>
      <c r="AB48" s="153">
        <f t="shared" si="16"/>
        <v>545810.6744878107</v>
      </c>
      <c r="AC48" s="153">
        <f t="shared" si="16"/>
        <v>545192.47902456846</v>
      </c>
    </row>
    <row r="49" spans="1:29" x14ac:dyDescent="0.25">
      <c r="A49" s="25" t="s">
        <v>51</v>
      </c>
      <c r="B49" s="154"/>
      <c r="C49" s="155">
        <f>C48</f>
        <v>0</v>
      </c>
      <c r="D49" s="155">
        <f t="shared" ref="D49:AC49" si="17">C49+D48</f>
        <v>0</v>
      </c>
      <c r="E49" s="155">
        <f t="shared" si="17"/>
        <v>-239380.0811062979</v>
      </c>
      <c r="F49" s="155">
        <f t="shared" si="17"/>
        <v>-776193.5849211649</v>
      </c>
      <c r="G49" s="155">
        <f t="shared" si="17"/>
        <v>-907865.08486172417</v>
      </c>
      <c r="H49" s="155">
        <f t="shared" si="17"/>
        <v>-2337184.2559601851</v>
      </c>
      <c r="I49" s="155">
        <f t="shared" si="17"/>
        <v>-7263044.0181881618</v>
      </c>
      <c r="J49" s="155">
        <f t="shared" si="17"/>
        <v>-9440855.5125675108</v>
      </c>
      <c r="K49" s="155">
        <f t="shared" si="17"/>
        <v>-9010287.1021448746</v>
      </c>
      <c r="L49" s="155">
        <f t="shared" si="17"/>
        <v>-8578401.3343863972</v>
      </c>
      <c r="M49" s="155">
        <f t="shared" si="17"/>
        <v>-7636065.8237661161</v>
      </c>
      <c r="N49" s="155">
        <f t="shared" si="17"/>
        <v>-7199461.0627075816</v>
      </c>
      <c r="O49" s="155">
        <f t="shared" si="17"/>
        <v>-6792554.91500971</v>
      </c>
      <c r="P49" s="155">
        <f t="shared" si="17"/>
        <v>-6348038.6050658599</v>
      </c>
      <c r="Q49" s="155">
        <f t="shared" si="17"/>
        <v>-5898526.4421339734</v>
      </c>
      <c r="R49" s="155">
        <f t="shared" si="17"/>
        <v>-5443350.1653880905</v>
      </c>
      <c r="S49" s="155">
        <f t="shared" si="17"/>
        <v>-4981857.8884823909</v>
      </c>
      <c r="T49" s="155">
        <f t="shared" si="17"/>
        <v>-4537155.3331695022</v>
      </c>
      <c r="U49" s="155">
        <f t="shared" si="17"/>
        <v>-4061131.7656353917</v>
      </c>
      <c r="V49" s="155">
        <f t="shared" si="17"/>
        <v>-3576916.8177298708</v>
      </c>
      <c r="W49" s="155">
        <f t="shared" si="17"/>
        <v>-3083906.600750498</v>
      </c>
      <c r="X49" s="155">
        <f t="shared" si="17"/>
        <v>-2581505.2948232517</v>
      </c>
      <c r="Y49" s="155">
        <f t="shared" si="17"/>
        <v>-2086052.2197203496</v>
      </c>
      <c r="Z49" s="155">
        <f t="shared" si="17"/>
        <v>-1563106.5365935988</v>
      </c>
      <c r="AA49" s="155">
        <f t="shared" si="17"/>
        <v>-1029016.886313602</v>
      </c>
      <c r="AB49" s="155">
        <f t="shared" si="17"/>
        <v>-483206.21182579128</v>
      </c>
      <c r="AC49" s="155">
        <f t="shared" si="17"/>
        <v>61986.267198777176</v>
      </c>
    </row>
    <row r="50" spans="1:29" x14ac:dyDescent="0.25">
      <c r="A50" s="27"/>
      <c r="B50" s="132"/>
      <c r="C50" s="27"/>
      <c r="D50" s="156"/>
      <c r="E50" s="27"/>
    </row>
    <row r="51" spans="1:29" x14ac:dyDescent="0.25">
      <c r="A51" s="19" t="s">
        <v>238</v>
      </c>
      <c r="B51" s="132"/>
      <c r="C51" s="27"/>
      <c r="D51" s="27"/>
      <c r="E51" s="27"/>
    </row>
    <row r="52" spans="1:29" x14ac:dyDescent="0.25">
      <c r="A52" s="20" t="s">
        <v>47</v>
      </c>
      <c r="B52" s="26" t="s">
        <v>28</v>
      </c>
      <c r="C52" s="26">
        <v>2020</v>
      </c>
      <c r="D52" s="26">
        <f t="shared" ref="D52:AC52" si="18">C52+1</f>
        <v>2021</v>
      </c>
      <c r="E52" s="26">
        <f t="shared" si="18"/>
        <v>2022</v>
      </c>
      <c r="F52" s="26">
        <f t="shared" si="18"/>
        <v>2023</v>
      </c>
      <c r="G52" s="26">
        <f t="shared" si="18"/>
        <v>2024</v>
      </c>
      <c r="H52" s="26">
        <f t="shared" si="18"/>
        <v>2025</v>
      </c>
      <c r="I52" s="26">
        <f t="shared" si="18"/>
        <v>2026</v>
      </c>
      <c r="J52" s="26">
        <f t="shared" si="18"/>
        <v>2027</v>
      </c>
      <c r="K52" s="26">
        <f t="shared" si="18"/>
        <v>2028</v>
      </c>
      <c r="L52" s="26">
        <f t="shared" si="18"/>
        <v>2029</v>
      </c>
      <c r="M52" s="26">
        <f t="shared" si="18"/>
        <v>2030</v>
      </c>
      <c r="N52" s="26">
        <f t="shared" si="18"/>
        <v>2031</v>
      </c>
      <c r="O52" s="26">
        <f t="shared" si="18"/>
        <v>2032</v>
      </c>
      <c r="P52" s="26">
        <f t="shared" si="18"/>
        <v>2033</v>
      </c>
      <c r="Q52" s="26">
        <f t="shared" si="18"/>
        <v>2034</v>
      </c>
      <c r="R52" s="26">
        <f t="shared" si="18"/>
        <v>2035</v>
      </c>
      <c r="S52" s="26">
        <f t="shared" si="18"/>
        <v>2036</v>
      </c>
      <c r="T52" s="26">
        <f t="shared" si="18"/>
        <v>2037</v>
      </c>
      <c r="U52" s="26">
        <f t="shared" si="18"/>
        <v>2038</v>
      </c>
      <c r="V52" s="26">
        <f t="shared" si="18"/>
        <v>2039</v>
      </c>
      <c r="W52" s="26">
        <f t="shared" si="18"/>
        <v>2040</v>
      </c>
      <c r="X52" s="26">
        <f t="shared" si="18"/>
        <v>2041</v>
      </c>
      <c r="Y52" s="26">
        <f t="shared" si="18"/>
        <v>2042</v>
      </c>
      <c r="Z52" s="26">
        <f t="shared" si="18"/>
        <v>2043</v>
      </c>
      <c r="AA52" s="26">
        <f t="shared" si="18"/>
        <v>2044</v>
      </c>
      <c r="AB52" s="26">
        <f t="shared" si="18"/>
        <v>2045</v>
      </c>
      <c r="AC52" s="26">
        <f t="shared" si="18"/>
        <v>2046</v>
      </c>
    </row>
    <row r="53" spans="1:29" x14ac:dyDescent="0.25">
      <c r="A53" s="21" t="s">
        <v>43</v>
      </c>
      <c r="B53" s="148">
        <f t="shared" ref="B53:B62" si="19">SUM(C53:AC53)/10^6</f>
        <v>2.7093535964087816</v>
      </c>
      <c r="C53" s="149">
        <f>'Accident Impacts (Calc3)'!D29</f>
        <v>0</v>
      </c>
      <c r="D53" s="149">
        <f>'Accident Impacts (Calc3)'!E29</f>
        <v>0</v>
      </c>
      <c r="E53" s="149">
        <f>'Accident Impacts (Calc3)'!F29</f>
        <v>0</v>
      </c>
      <c r="F53" s="149">
        <f>'Accident Impacts (Calc3)'!G29</f>
        <v>0</v>
      </c>
      <c r="G53" s="149">
        <f>'Accident Impacts (Calc3)'!H29</f>
        <v>0</v>
      </c>
      <c r="H53" s="149">
        <f>'Accident Impacts (Calc3)'!I29</f>
        <v>0</v>
      </c>
      <c r="I53" s="149">
        <f>'Accident Impacts (Calc3)'!J29</f>
        <v>0</v>
      </c>
      <c r="J53" s="149">
        <f>'Accident Impacts (Calc3)'!K29</f>
        <v>176806.91175991393</v>
      </c>
      <c r="K53" s="149">
        <f>'Accident Impacts (Calc3)'!L29</f>
        <v>171657.19588341159</v>
      </c>
      <c r="L53" s="149">
        <f>'Accident Impacts (Calc3)'!M29</f>
        <v>166657.47173146758</v>
      </c>
      <c r="M53" s="149">
        <f>'Accident Impacts (Calc3)'!N29</f>
        <v>161803.3706130753</v>
      </c>
      <c r="N53" s="149">
        <f>'Accident Impacts (Calc3)'!O29</f>
        <v>157090.65108065566</v>
      </c>
      <c r="O53" s="149">
        <f>'Accident Impacts (Calc3)'!P29</f>
        <v>152515.19522393754</v>
      </c>
      <c r="P53" s="149">
        <f>'Accident Impacts (Calc3)'!Q29</f>
        <v>148073.00507178402</v>
      </c>
      <c r="Q53" s="149">
        <f>'Accident Impacts (Calc3)'!R29</f>
        <v>143760.19909881943</v>
      </c>
      <c r="R53" s="149">
        <f>'Accident Impacts (Calc3)'!S29</f>
        <v>139573.00883380524</v>
      </c>
      <c r="S53" s="149">
        <f>'Accident Impacts (Calc3)'!T29</f>
        <v>135507.77556680125</v>
      </c>
      <c r="T53" s="149">
        <f>'Accident Impacts (Calc3)'!U29</f>
        <v>131560.94715223421</v>
      </c>
      <c r="U53" s="149">
        <f>'Accident Impacts (Calc3)'!V29</f>
        <v>127729.07490508175</v>
      </c>
      <c r="V53" s="149">
        <f>'Accident Impacts (Calc3)'!W29</f>
        <v>124008.81058745802</v>
      </c>
      <c r="W53" s="149">
        <f>'Accident Impacts (Calc3)'!X29</f>
        <v>120396.90348296896</v>
      </c>
      <c r="X53" s="149">
        <f>'Accident Impacts (Calc3)'!Y29</f>
        <v>116890.19755628055</v>
      </c>
      <c r="Y53" s="149">
        <f>'Accident Impacts (Calc3)'!Z29</f>
        <v>113485.62869541801</v>
      </c>
      <c r="Z53" s="149">
        <f>'Accident Impacts (Calc3)'!AA29</f>
        <v>110180.22203438642</v>
      </c>
      <c r="AA53" s="149">
        <f>'Accident Impacts (Calc3)'!AB29</f>
        <v>106971.08935377323</v>
      </c>
      <c r="AB53" s="149">
        <f>'Accident Impacts (Calc3)'!AC29</f>
        <v>103855.42655706139</v>
      </c>
      <c r="AC53" s="149">
        <f>'Accident Impacts (Calc3)'!AD29</f>
        <v>100830.51122044794</v>
      </c>
    </row>
    <row r="54" spans="1:29" x14ac:dyDescent="0.25">
      <c r="A54" s="21" t="s">
        <v>368</v>
      </c>
      <c r="B54" s="148">
        <f t="shared" si="19"/>
        <v>0.32676330442324469</v>
      </c>
      <c r="C54" s="149">
        <f>'Ped Facility Benefits'!D19</f>
        <v>0</v>
      </c>
      <c r="D54" s="149">
        <f>'Ped Facility Benefits'!E19</f>
        <v>0</v>
      </c>
      <c r="E54" s="149">
        <f>'Ped Facility Benefits'!F19</f>
        <v>0</v>
      </c>
      <c r="F54" s="149">
        <f>'Ped Facility Benefits'!G19</f>
        <v>0</v>
      </c>
      <c r="G54" s="149">
        <f>'Ped Facility Benefits'!H19</f>
        <v>0</v>
      </c>
      <c r="H54" s="149">
        <f>'Ped Facility Benefits'!I19</f>
        <v>0</v>
      </c>
      <c r="I54" s="149">
        <f>'Ped Facility Benefits'!J19</f>
        <v>0</v>
      </c>
      <c r="J54" s="149">
        <f>'Ped Facility Benefits'!K19</f>
        <v>12885.875996313895</v>
      </c>
      <c r="K54" s="149">
        <f>'Ped Facility Benefits'!L19</f>
        <v>13198.639976806951</v>
      </c>
      <c r="L54" s="149">
        <f>'Ped Facility Benefits'!M19</f>
        <v>13518.995316049839</v>
      </c>
      <c r="M54" s="149">
        <f>'Ped Facility Benefits'!N19</f>
        <v>13847.126270322891</v>
      </c>
      <c r="N54" s="149">
        <f>'Ped Facility Benefits'!O19</f>
        <v>14183.22156814626</v>
      </c>
      <c r="O54" s="149">
        <f>'Ped Facility Benefits'!P19</f>
        <v>14527.474518829427</v>
      </c>
      <c r="P54" s="149">
        <f>'Ped Facility Benefits'!Q19</f>
        <v>14880.08312365538</v>
      </c>
      <c r="Q54" s="149">
        <f>'Ped Facility Benefits'!R19</f>
        <v>15241.250189763519</v>
      </c>
      <c r="R54" s="149">
        <f>'Ped Facility Benefits'!S19</f>
        <v>15611.183446796611</v>
      </c>
      <c r="S54" s="149">
        <f>'Ped Facility Benefits'!T19</f>
        <v>15990.095666379057</v>
      </c>
      <c r="T54" s="149">
        <f>'Ped Facility Benefits'!U19</f>
        <v>16378.204784495054</v>
      </c>
      <c r="U54" s="149">
        <f>'Ped Facility Benefits'!V19</f>
        <v>16775.734026837163</v>
      </c>
      <c r="V54" s="149">
        <f>'Ped Facility Benefits'!W19</f>
        <v>17182.912037197286</v>
      </c>
      <c r="W54" s="149">
        <f>'Ped Facility Benefits'!X19</f>
        <v>17599.973008973921</v>
      </c>
      <c r="X54" s="149">
        <f>'Ped Facility Benefits'!Y19</f>
        <v>18027.156819871343</v>
      </c>
      <c r="Y54" s="149">
        <f>'Ped Facility Benefits'!Z19</f>
        <v>18464.709169868223</v>
      </c>
      <c r="Z54" s="149">
        <f>'Ped Facility Benefits'!AA19</f>
        <v>18912.881722534923</v>
      </c>
      <c r="AA54" s="149">
        <f>'Ped Facility Benefits'!AB19</f>
        <v>19371.932249780919</v>
      </c>
      <c r="AB54" s="149">
        <f>'Ped Facility Benefits'!AC19</f>
        <v>19842.124780115402</v>
      </c>
      <c r="AC54" s="149">
        <f>'Ped Facility Benefits'!AD19</f>
        <v>20323.729750506554</v>
      </c>
    </row>
    <row r="55" spans="1:29" x14ac:dyDescent="0.25">
      <c r="A55" s="21" t="s">
        <v>369</v>
      </c>
      <c r="B55" s="148">
        <f t="shared" si="19"/>
        <v>8.6168693610870442E-2</v>
      </c>
      <c r="C55" s="149">
        <f>'CycFac Benefits'!D21</f>
        <v>0</v>
      </c>
      <c r="D55" s="149">
        <f>'CycFac Benefits'!E21</f>
        <v>0</v>
      </c>
      <c r="E55" s="149">
        <f>'CycFac Benefits'!F21</f>
        <v>0</v>
      </c>
      <c r="F55" s="149">
        <f>'CycFac Benefits'!G21</f>
        <v>0</v>
      </c>
      <c r="G55" s="149">
        <f>'CycFac Benefits'!H21</f>
        <v>0</v>
      </c>
      <c r="H55" s="149">
        <f>'CycFac Benefits'!I21</f>
        <v>0</v>
      </c>
      <c r="I55" s="149">
        <f>'CycFac Benefits'!J21</f>
        <v>0</v>
      </c>
      <c r="J55" s="149">
        <f>'CycFac Benefits'!K21</f>
        <v>3398.0532256946271</v>
      </c>
      <c r="K55" s="149">
        <f>'CycFac Benefits'!L21</f>
        <v>3480.5302457357589</v>
      </c>
      <c r="L55" s="149">
        <f>'CycFac Benefits'!M21</f>
        <v>3565.0091351953643</v>
      </c>
      <c r="M55" s="149">
        <f>'CycFac Benefits'!N21</f>
        <v>3651.5384831369988</v>
      </c>
      <c r="N55" s="149">
        <f>'CycFac Benefits'!O21</f>
        <v>3740.1680579704212</v>
      </c>
      <c r="O55" s="149">
        <f>'CycFac Benefits'!P21</f>
        <v>3830.9488360765004</v>
      </c>
      <c r="P55" s="149">
        <f>'CycFac Benefits'!Q21</f>
        <v>3923.9330311269</v>
      </c>
      <c r="Q55" s="149">
        <f>'CycFac Benefits'!R21</f>
        <v>4019.1741241154164</v>
      </c>
      <c r="R55" s="149">
        <f>'CycFac Benefits'!S21</f>
        <v>4116.7268941182174</v>
      </c>
      <c r="S55" s="149">
        <f>'CycFac Benefits'!T21</f>
        <v>4216.6474498006983</v>
      </c>
      <c r="T55" s="149">
        <f>'CycFac Benefits'!U21</f>
        <v>4318.9932616890646</v>
      </c>
      <c r="U55" s="149">
        <f>'CycFac Benefits'!V21</f>
        <v>4423.8231952252072</v>
      </c>
      <c r="V55" s="149">
        <f>'CycFac Benefits'!W21</f>
        <v>4531.1975446238766</v>
      </c>
      <c r="W55" s="149">
        <f>'CycFac Benefits'!X21</f>
        <v>4641.1780675516411</v>
      </c>
      <c r="X55" s="149">
        <f>'CycFac Benefits'!Y21</f>
        <v>4753.8280206475547</v>
      </c>
      <c r="Y55" s="149">
        <f>'CycFac Benefits'!Z21</f>
        <v>4869.2121959059896</v>
      </c>
      <c r="Z55" s="149">
        <f>'CycFac Benefits'!AA21</f>
        <v>4987.3969579425429</v>
      </c>
      <c r="AA55" s="149">
        <f>'CycFac Benefits'!AB21</f>
        <v>5108.4502821644483</v>
      </c>
      <c r="AB55" s="149">
        <f>'CycFac Benefits'!AC21</f>
        <v>5232.4417938674696</v>
      </c>
      <c r="AC55" s="149">
        <f>'CycFac Benefits'!AD21</f>
        <v>5359.4428082817276</v>
      </c>
    </row>
    <row r="56" spans="1:29" x14ac:dyDescent="0.25">
      <c r="A56" s="22" t="s">
        <v>287</v>
      </c>
      <c r="B56" s="148">
        <f t="shared" si="19"/>
        <v>11.36217140569657</v>
      </c>
      <c r="C56" s="149">
        <f>'Recreational Benefits'!B36</f>
        <v>0</v>
      </c>
      <c r="D56" s="149">
        <f>'Recreational Benefits'!C36</f>
        <v>0</v>
      </c>
      <c r="E56" s="149">
        <f>'Recreational Benefits'!D36</f>
        <v>0</v>
      </c>
      <c r="F56" s="149">
        <f>'Recreational Benefits'!E36</f>
        <v>0</v>
      </c>
      <c r="G56" s="149">
        <f>'Recreational Benefits'!F36</f>
        <v>0</v>
      </c>
      <c r="H56" s="149">
        <f>'Recreational Benefits'!G36</f>
        <v>0</v>
      </c>
      <c r="I56" s="149">
        <f>'Recreational Benefits'!H36</f>
        <v>0</v>
      </c>
      <c r="J56" s="149">
        <f>'Recreational Benefits'!I36</f>
        <v>207224.33104357196</v>
      </c>
      <c r="K56" s="149">
        <f>'Recreational Benefits'!J36</f>
        <v>230361.02819892226</v>
      </c>
      <c r="L56" s="149">
        <f>'Recreational Benefits'!K36</f>
        <v>255289.86715587942</v>
      </c>
      <c r="M56" s="149">
        <f>'Recreational Benefits'!L36</f>
        <v>282137.977573474</v>
      </c>
      <c r="N56" s="149">
        <f>'Recreational Benefits'!M36</f>
        <v>311041.25844713318</v>
      </c>
      <c r="O56" s="149">
        <f>'Recreational Benefits'!N36</f>
        <v>342144.9772251508</v>
      </c>
      <c r="P56" s="149">
        <f>'Recreational Benefits'!O36</f>
        <v>375604.40971807699</v>
      </c>
      <c r="Q56" s="149">
        <f>'Recreational Benefits'!P36</f>
        <v>411585.5235752117</v>
      </c>
      <c r="R56" s="149">
        <f>'Recreational Benefits'!Q36</f>
        <v>450265.70829097024</v>
      </c>
      <c r="S56" s="149">
        <f>'Recreational Benefits'!R36</f>
        <v>491834.55490528716</v>
      </c>
      <c r="T56" s="149">
        <f>'Recreational Benefits'!S36</f>
        <v>536494.68877731112</v>
      </c>
      <c r="U56" s="149">
        <f>'Recreational Benefits'!T36</f>
        <v>584462.65904135455</v>
      </c>
      <c r="V56" s="149">
        <f>'Recreational Benefits'!U36</f>
        <v>635969.8885993713</v>
      </c>
      <c r="W56" s="149">
        <f>'Recreational Benefits'!V36</f>
        <v>691263.68876623863</v>
      </c>
      <c r="X56" s="149">
        <f>'Recreational Benefits'!W36</f>
        <v>750608.34296390903</v>
      </c>
      <c r="Y56" s="149">
        <f>'Recreational Benefits'!X36</f>
        <v>814286.26415931841</v>
      </c>
      <c r="Z56" s="149">
        <f>'Recreational Benefits'!Y36</f>
        <v>882599.23106005706</v>
      </c>
      <c r="AA56" s="149">
        <f>'Recreational Benefits'!Z36</f>
        <v>955869.70842262881</v>
      </c>
      <c r="AB56" s="149">
        <f>'Recreational Benefits'!AA36</f>
        <v>1034442.2571920932</v>
      </c>
      <c r="AC56" s="149">
        <f>'Recreational Benefits'!AB36</f>
        <v>1118685.0405806096</v>
      </c>
    </row>
    <row r="57" spans="1:29" x14ac:dyDescent="0.25">
      <c r="A57" s="21" t="s">
        <v>288</v>
      </c>
      <c r="B57" s="246">
        <f t="shared" si="19"/>
        <v>4.1804583942318265</v>
      </c>
      <c r="C57" s="149">
        <f>'Health Benefits'!B18</f>
        <v>0</v>
      </c>
      <c r="D57" s="149">
        <f>'Health Benefits'!C18</f>
        <v>0</v>
      </c>
      <c r="E57" s="149">
        <f>'Health Benefits'!D18</f>
        <v>0</v>
      </c>
      <c r="F57" s="149">
        <f>'Health Benefits'!E18</f>
        <v>0</v>
      </c>
      <c r="G57" s="149">
        <f>'Health Benefits'!F18</f>
        <v>0</v>
      </c>
      <c r="H57" s="149">
        <f>'Health Benefits'!G18</f>
        <v>0</v>
      </c>
      <c r="I57" s="149">
        <f>'Health Benefits'!H18</f>
        <v>0</v>
      </c>
      <c r="J57" s="149">
        <f>'Health Benefits'!I18</f>
        <v>164855.93010788766</v>
      </c>
      <c r="K57" s="149">
        <f>'Health Benefits'!J18</f>
        <v>168857.28763477813</v>
      </c>
      <c r="L57" s="149">
        <f>'Health Benefits'!K18</f>
        <v>172955.7654899912</v>
      </c>
      <c r="M57" s="149">
        <f>'Health Benefits'!L18</f>
        <v>177153.72096304921</v>
      </c>
      <c r="N57" s="149">
        <f>'Health Benefits'!M18</f>
        <v>181453.56855923973</v>
      </c>
      <c r="O57" s="149">
        <f>'Health Benefits'!N18</f>
        <v>185857.78138834753</v>
      </c>
      <c r="P57" s="149">
        <f>'Health Benefits'!O18</f>
        <v>190368.89258709381</v>
      </c>
      <c r="Q57" s="149">
        <f>'Health Benefits'!P18</f>
        <v>194989.49677610092</v>
      </c>
      <c r="R57" s="149">
        <f>'Health Benefits'!Q18</f>
        <v>199722.25155221982</v>
      </c>
      <c r="S57" s="149">
        <f>'Health Benefits'!R18</f>
        <v>204569.87901707957</v>
      </c>
      <c r="T57" s="149">
        <f>'Health Benefits'!S18</f>
        <v>209535.16734273679</v>
      </c>
      <c r="U57" s="149">
        <f>'Health Benefits'!T18</f>
        <v>214620.97237532752</v>
      </c>
      <c r="V57" s="149">
        <f>'Health Benefits'!U18</f>
        <v>219830.21927764127</v>
      </c>
      <c r="W57" s="149">
        <f>'Health Benefits'!V18</f>
        <v>225165.90421156457</v>
      </c>
      <c r="X57" s="149">
        <f>'Health Benefits'!W18</f>
        <v>230631.09606135983</v>
      </c>
      <c r="Y57" s="149">
        <f>'Health Benefits'!X18</f>
        <v>236228.93819877147</v>
      </c>
      <c r="Z57" s="149">
        <f>'Health Benefits'!Y18</f>
        <v>241962.65029097465</v>
      </c>
      <c r="AA57" s="149">
        <f>'Health Benefits'!Z18</f>
        <v>247835.53015240608</v>
      </c>
      <c r="AB57" s="149">
        <f>'Health Benefits'!AA18</f>
        <v>253850.95564154215</v>
      </c>
      <c r="AC57" s="149">
        <f>'Health Benefits'!AB18</f>
        <v>260012.38660371545</v>
      </c>
    </row>
    <row r="58" spans="1:29" x14ac:dyDescent="0.25">
      <c r="A58" s="22" t="s">
        <v>48</v>
      </c>
      <c r="B58" s="148">
        <f>SUM(C58:AC58)/10^6</f>
        <v>0.51727071757295462</v>
      </c>
      <c r="C58" s="149">
        <f>'Project Costs'!D43</f>
        <v>0</v>
      </c>
      <c r="D58" s="149">
        <f>'Project Costs'!E43</f>
        <v>0</v>
      </c>
      <c r="E58" s="149">
        <f>'Project Costs'!F43</f>
        <v>0</v>
      </c>
      <c r="F58" s="149">
        <f>'Project Costs'!G43</f>
        <v>457.57082967657982</v>
      </c>
      <c r="G58" s="149">
        <f>'Project Costs'!H43</f>
        <v>444.2435239578445</v>
      </c>
      <c r="H58" s="149">
        <f>'Project Costs'!I43</f>
        <v>431.30439219208205</v>
      </c>
      <c r="I58" s="149">
        <f>'Project Costs'!J43</f>
        <v>418.7421283418272</v>
      </c>
      <c r="J58" s="149">
        <f>'Project Costs'!K43</f>
        <v>406.54575567167689</v>
      </c>
      <c r="K58" s="149">
        <f>'Project Costs'!L43</f>
        <v>-3552.3415544127106</v>
      </c>
      <c r="L58" s="149">
        <f>'Project Costs'!M43</f>
        <v>-3448.8752955463215</v>
      </c>
      <c r="M58" s="149">
        <f>'Project Costs'!N43</f>
        <v>740745.49227968988</v>
      </c>
      <c r="N58" s="149">
        <f>'Project Costs'!O43</f>
        <v>-3612.1063829938116</v>
      </c>
      <c r="O58" s="149">
        <f>'Project Costs'!P43</f>
        <v>-56110.390415437862</v>
      </c>
      <c r="P58" s="149">
        <f>'Project Costs'!Q43</f>
        <v>-3404.7566999658898</v>
      </c>
      <c r="Q58" s="149">
        <f>'Project Costs'!R43</f>
        <v>-3305.5890290930961</v>
      </c>
      <c r="R58" s="149">
        <f>'Project Costs'!S43</f>
        <v>-3209.3097369835882</v>
      </c>
      <c r="S58" s="149">
        <f>'Project Costs'!T43</f>
        <v>-3115.8346961005718</v>
      </c>
      <c r="T58" s="149">
        <f>'Project Costs'!U43</f>
        <v>-48401.315667581694</v>
      </c>
      <c r="U58" s="149">
        <f>'Project Costs'!V43</f>
        <v>-2936.9730380814135</v>
      </c>
      <c r="V58" s="149">
        <f>'Project Costs'!W43</f>
        <v>-2851.4301340596248</v>
      </c>
      <c r="W58" s="149">
        <f>'Project Costs'!X43</f>
        <v>-2768.3787709316748</v>
      </c>
      <c r="X58" s="149">
        <f>'Project Costs'!Y43</f>
        <v>-2687.7463795453154</v>
      </c>
      <c r="Y58" s="149">
        <f>'Project Costs'!Z43</f>
        <v>-41751.40007060684</v>
      </c>
      <c r="Z58" s="149">
        <f>'Project Costs'!AA43</f>
        <v>-2533.4587421484734</v>
      </c>
      <c r="AA58" s="149">
        <f>'Project Costs'!AB43</f>
        <v>-2459.6686816975471</v>
      </c>
      <c r="AB58" s="149">
        <f>'Project Costs'!AC43</f>
        <v>-2388.0278463082982</v>
      </c>
      <c r="AC58" s="149">
        <f>'Project Costs'!AD43</f>
        <v>-37095.578195080358</v>
      </c>
    </row>
    <row r="59" spans="1:29" x14ac:dyDescent="0.25">
      <c r="A59" s="22" t="s">
        <v>49</v>
      </c>
      <c r="B59" s="148">
        <f>SUM(C59:AC59)/10^6</f>
        <v>-12.344554647671929</v>
      </c>
      <c r="C59" s="149">
        <f>'Project Costs'!D23</f>
        <v>0</v>
      </c>
      <c r="D59" s="149">
        <f>'Project Costs'!E23</f>
        <v>0</v>
      </c>
      <c r="E59" s="149">
        <f>'Project Costs'!F23</f>
        <v>-258333.73066132577</v>
      </c>
      <c r="F59" s="149">
        <f>'Project Costs'!G23</f>
        <v>-602272.68581619766</v>
      </c>
      <c r="G59" s="149">
        <f>'Project Costs'!H23</f>
        <v>-153792.20066060638</v>
      </c>
      <c r="H59" s="149">
        <f>'Project Costs'!I23</f>
        <v>-1729698.0253419578</v>
      </c>
      <c r="I59" s="149">
        <f>'Project Costs'!J23</f>
        <v>-6191426.686768801</v>
      </c>
      <c r="J59" s="149">
        <f>'Project Costs'!K23</f>
        <v>-3409031.3184230397</v>
      </c>
      <c r="K59" s="149">
        <f>'Project Costs'!L23</f>
        <v>0</v>
      </c>
      <c r="L59" s="149">
        <f>'Project Costs'!M23</f>
        <v>0</v>
      </c>
      <c r="M59" s="149">
        <f>'Project Costs'!N23</f>
        <v>0</v>
      </c>
      <c r="N59" s="149">
        <f>'Project Costs'!O23</f>
        <v>0</v>
      </c>
      <c r="O59" s="149">
        <f>'Project Costs'!P23</f>
        <v>0</v>
      </c>
      <c r="P59" s="149">
        <f>'Project Costs'!Q23</f>
        <v>0</v>
      </c>
      <c r="Q59" s="149">
        <f>'Project Costs'!R23</f>
        <v>0</v>
      </c>
      <c r="R59" s="149">
        <f>'Project Costs'!S23</f>
        <v>0</v>
      </c>
      <c r="S59" s="149">
        <f>'Project Costs'!T23</f>
        <v>0</v>
      </c>
      <c r="T59" s="149">
        <f>'Project Costs'!U23</f>
        <v>0</v>
      </c>
      <c r="U59" s="149">
        <f>'Project Costs'!V23</f>
        <v>0</v>
      </c>
      <c r="V59" s="149">
        <f>'Project Costs'!W23</f>
        <v>0</v>
      </c>
      <c r="W59" s="149">
        <f>'Project Costs'!X23</f>
        <v>0</v>
      </c>
      <c r="X59" s="149">
        <f>'Project Costs'!Y23</f>
        <v>0</v>
      </c>
      <c r="Y59" s="149">
        <f>'Project Costs'!Z23</f>
        <v>0</v>
      </c>
      <c r="Z59" s="149">
        <f>'Project Costs'!AA23</f>
        <v>0</v>
      </c>
      <c r="AA59" s="149">
        <f>'Project Costs'!AB23</f>
        <v>0</v>
      </c>
      <c r="AB59" s="149">
        <f>'Project Costs'!AC23</f>
        <v>0</v>
      </c>
      <c r="AC59" s="149">
        <f>'Project Costs'!AD23</f>
        <v>0</v>
      </c>
    </row>
    <row r="60" spans="1:29" x14ac:dyDescent="0.25">
      <c r="A60" s="23" t="s">
        <v>44</v>
      </c>
      <c r="B60" s="150">
        <f t="shared" si="19"/>
        <v>18.664915394371288</v>
      </c>
      <c r="C60" s="151">
        <f t="shared" ref="C60:AC60" si="20">SUM(C53:C57)</f>
        <v>0</v>
      </c>
      <c r="D60" s="151">
        <f t="shared" si="20"/>
        <v>0</v>
      </c>
      <c r="E60" s="151">
        <f t="shared" si="20"/>
        <v>0</v>
      </c>
      <c r="F60" s="151">
        <f t="shared" si="20"/>
        <v>0</v>
      </c>
      <c r="G60" s="151">
        <f t="shared" si="20"/>
        <v>0</v>
      </c>
      <c r="H60" s="151">
        <f t="shared" si="20"/>
        <v>0</v>
      </c>
      <c r="I60" s="151">
        <f t="shared" si="20"/>
        <v>0</v>
      </c>
      <c r="J60" s="151">
        <f t="shared" si="20"/>
        <v>565171.10213338211</v>
      </c>
      <c r="K60" s="151">
        <f t="shared" si="20"/>
        <v>587554.68193965475</v>
      </c>
      <c r="L60" s="151">
        <f t="shared" si="20"/>
        <v>611987.10882858338</v>
      </c>
      <c r="M60" s="151">
        <f t="shared" si="20"/>
        <v>638593.73390305834</v>
      </c>
      <c r="N60" s="151">
        <f t="shared" si="20"/>
        <v>667508.86771314521</v>
      </c>
      <c r="O60" s="151">
        <f t="shared" si="20"/>
        <v>698876.37719234184</v>
      </c>
      <c r="P60" s="151">
        <f t="shared" si="20"/>
        <v>732850.32353173709</v>
      </c>
      <c r="Q60" s="151">
        <f t="shared" si="20"/>
        <v>769595.64376401098</v>
      </c>
      <c r="R60" s="151">
        <f t="shared" si="20"/>
        <v>809288.87901791011</v>
      </c>
      <c r="S60" s="151">
        <f t="shared" si="20"/>
        <v>852118.95260534773</v>
      </c>
      <c r="T60" s="151">
        <f t="shared" si="20"/>
        <v>898288.00131846615</v>
      </c>
      <c r="U60" s="151">
        <f t="shared" si="20"/>
        <v>948012.26354382618</v>
      </c>
      <c r="V60" s="151">
        <f t="shared" si="20"/>
        <v>1001523.0280462918</v>
      </c>
      <c r="W60" s="151">
        <f t="shared" si="20"/>
        <v>1059067.6475372976</v>
      </c>
      <c r="X60" s="151">
        <f t="shared" si="20"/>
        <v>1120910.6214220682</v>
      </c>
      <c r="Y60" s="151">
        <f t="shared" si="20"/>
        <v>1187334.7524192822</v>
      </c>
      <c r="Z60" s="151">
        <f t="shared" si="20"/>
        <v>1258642.3820658955</v>
      </c>
      <c r="AA60" s="151">
        <f t="shared" si="20"/>
        <v>1335156.7104607534</v>
      </c>
      <c r="AB60" s="151">
        <f t="shared" si="20"/>
        <v>1417223.2059646796</v>
      </c>
      <c r="AC60" s="151">
        <f t="shared" si="20"/>
        <v>1505211.1109635611</v>
      </c>
    </row>
    <row r="61" spans="1:29" x14ac:dyDescent="0.25">
      <c r="A61" s="23" t="s">
        <v>45</v>
      </c>
      <c r="B61" s="150">
        <f t="shared" si="19"/>
        <v>-11.827283930098975</v>
      </c>
      <c r="C61" s="151">
        <f>SUM(C58:C59)</f>
        <v>0</v>
      </c>
      <c r="D61" s="151">
        <f t="shared" ref="D61:AC61" si="21">SUM(D58:D59)</f>
        <v>0</v>
      </c>
      <c r="E61" s="151">
        <f t="shared" si="21"/>
        <v>-258333.73066132577</v>
      </c>
      <c r="F61" s="151">
        <f t="shared" si="21"/>
        <v>-601815.11498652108</v>
      </c>
      <c r="G61" s="151">
        <f t="shared" si="21"/>
        <v>-153347.95713664853</v>
      </c>
      <c r="H61" s="151">
        <f t="shared" si="21"/>
        <v>-1729266.7209497658</v>
      </c>
      <c r="I61" s="151">
        <f t="shared" si="21"/>
        <v>-6191007.9446404595</v>
      </c>
      <c r="J61" s="151">
        <f t="shared" si="21"/>
        <v>-3408624.7726673679</v>
      </c>
      <c r="K61" s="151">
        <f t="shared" si="21"/>
        <v>-3552.3415544127106</v>
      </c>
      <c r="L61" s="151">
        <f t="shared" si="21"/>
        <v>-3448.8752955463215</v>
      </c>
      <c r="M61" s="151">
        <f t="shared" si="21"/>
        <v>740745.49227968988</v>
      </c>
      <c r="N61" s="151">
        <f t="shared" si="21"/>
        <v>-3612.1063829938116</v>
      </c>
      <c r="O61" s="151">
        <f t="shared" si="21"/>
        <v>-56110.390415437862</v>
      </c>
      <c r="P61" s="151">
        <f t="shared" si="21"/>
        <v>-3404.7566999658898</v>
      </c>
      <c r="Q61" s="151">
        <f t="shared" si="21"/>
        <v>-3305.5890290930961</v>
      </c>
      <c r="R61" s="151">
        <f t="shared" si="21"/>
        <v>-3209.3097369835882</v>
      </c>
      <c r="S61" s="151">
        <f t="shared" si="21"/>
        <v>-3115.8346961005718</v>
      </c>
      <c r="T61" s="151">
        <f t="shared" si="21"/>
        <v>-48401.315667581694</v>
      </c>
      <c r="U61" s="151">
        <f t="shared" si="21"/>
        <v>-2936.9730380814135</v>
      </c>
      <c r="V61" s="151">
        <f t="shared" si="21"/>
        <v>-2851.4301340596248</v>
      </c>
      <c r="W61" s="151">
        <f t="shared" si="21"/>
        <v>-2768.3787709316748</v>
      </c>
      <c r="X61" s="151">
        <f t="shared" si="21"/>
        <v>-2687.7463795453154</v>
      </c>
      <c r="Y61" s="151">
        <f t="shared" si="21"/>
        <v>-41751.40007060684</v>
      </c>
      <c r="Z61" s="151">
        <f t="shared" si="21"/>
        <v>-2533.4587421484734</v>
      </c>
      <c r="AA61" s="151">
        <f t="shared" si="21"/>
        <v>-2459.6686816975471</v>
      </c>
      <c r="AB61" s="151">
        <f t="shared" si="21"/>
        <v>-2388.0278463082982</v>
      </c>
      <c r="AC61" s="151">
        <f t="shared" si="21"/>
        <v>-37095.578195080358</v>
      </c>
    </row>
    <row r="62" spans="1:29" x14ac:dyDescent="0.25">
      <c r="A62" s="24" t="s">
        <v>50</v>
      </c>
      <c r="B62" s="152">
        <f t="shared" si="19"/>
        <v>6.8376314642723193</v>
      </c>
      <c r="C62" s="153">
        <f>SUM(C60:C61)</f>
        <v>0</v>
      </c>
      <c r="D62" s="153">
        <f t="shared" ref="D62:AC62" si="22">SUM(D60:D61)</f>
        <v>0</v>
      </c>
      <c r="E62" s="153">
        <f t="shared" si="22"/>
        <v>-258333.73066132577</v>
      </c>
      <c r="F62" s="153">
        <f t="shared" si="22"/>
        <v>-601815.11498652108</v>
      </c>
      <c r="G62" s="153">
        <f t="shared" si="22"/>
        <v>-153347.95713664853</v>
      </c>
      <c r="H62" s="153">
        <f t="shared" si="22"/>
        <v>-1729266.7209497658</v>
      </c>
      <c r="I62" s="153">
        <f t="shared" si="22"/>
        <v>-6191007.9446404595</v>
      </c>
      <c r="J62" s="153">
        <f t="shared" si="22"/>
        <v>-2843453.6705339858</v>
      </c>
      <c r="K62" s="153">
        <f t="shared" si="22"/>
        <v>584002.34038524202</v>
      </c>
      <c r="L62" s="153">
        <f t="shared" si="22"/>
        <v>608538.23353303701</v>
      </c>
      <c r="M62" s="153">
        <f t="shared" si="22"/>
        <v>1379339.2261827481</v>
      </c>
      <c r="N62" s="153">
        <f t="shared" si="22"/>
        <v>663896.76133015135</v>
      </c>
      <c r="O62" s="153">
        <f t="shared" si="22"/>
        <v>642765.98677690397</v>
      </c>
      <c r="P62" s="153">
        <f t="shared" si="22"/>
        <v>729445.56683177117</v>
      </c>
      <c r="Q62" s="153">
        <f t="shared" si="22"/>
        <v>766290.05473491794</v>
      </c>
      <c r="R62" s="153">
        <f t="shared" si="22"/>
        <v>806079.56928092649</v>
      </c>
      <c r="S62" s="153">
        <f t="shared" si="22"/>
        <v>849003.11790924717</v>
      </c>
      <c r="T62" s="153">
        <f t="shared" si="22"/>
        <v>849886.68565088441</v>
      </c>
      <c r="U62" s="153">
        <f t="shared" si="22"/>
        <v>945075.29050574475</v>
      </c>
      <c r="V62" s="153">
        <f t="shared" si="22"/>
        <v>998671.59791223216</v>
      </c>
      <c r="W62" s="153">
        <f t="shared" si="22"/>
        <v>1056299.2687663659</v>
      </c>
      <c r="X62" s="153">
        <f t="shared" si="22"/>
        <v>1118222.8750425228</v>
      </c>
      <c r="Y62" s="153">
        <f t="shared" si="22"/>
        <v>1145583.3523486755</v>
      </c>
      <c r="Z62" s="153">
        <f t="shared" si="22"/>
        <v>1256108.923323747</v>
      </c>
      <c r="AA62" s="153">
        <f t="shared" si="22"/>
        <v>1332697.041779056</v>
      </c>
      <c r="AB62" s="153">
        <f t="shared" si="22"/>
        <v>1414835.1781183714</v>
      </c>
      <c r="AC62" s="153">
        <f t="shared" si="22"/>
        <v>1468115.5327684807</v>
      </c>
    </row>
    <row r="63" spans="1:29" x14ac:dyDescent="0.25">
      <c r="A63" s="25" t="s">
        <v>51</v>
      </c>
      <c r="B63" s="154"/>
      <c r="C63" s="155">
        <f>C62</f>
        <v>0</v>
      </c>
      <c r="D63" s="155">
        <f t="shared" ref="D63:AC63" si="23">C63+D62</f>
        <v>0</v>
      </c>
      <c r="E63" s="155">
        <f t="shared" si="23"/>
        <v>-258333.73066132577</v>
      </c>
      <c r="F63" s="155">
        <f t="shared" si="23"/>
        <v>-860148.84564784681</v>
      </c>
      <c r="G63" s="155">
        <f t="shared" si="23"/>
        <v>-1013496.8027844953</v>
      </c>
      <c r="H63" s="155">
        <f t="shared" si="23"/>
        <v>-2742763.5237342613</v>
      </c>
      <c r="I63" s="155">
        <f t="shared" si="23"/>
        <v>-8933771.4683747217</v>
      </c>
      <c r="J63" s="155">
        <f t="shared" si="23"/>
        <v>-11777225.138908707</v>
      </c>
      <c r="K63" s="155">
        <f t="shared" si="23"/>
        <v>-11193222.798523465</v>
      </c>
      <c r="L63" s="155">
        <f t="shared" si="23"/>
        <v>-10584684.564990427</v>
      </c>
      <c r="M63" s="155">
        <f t="shared" si="23"/>
        <v>-9205345.3388076797</v>
      </c>
      <c r="N63" s="155">
        <f t="shared" si="23"/>
        <v>-8541448.5774775278</v>
      </c>
      <c r="O63" s="155">
        <f t="shared" si="23"/>
        <v>-7898682.5907006236</v>
      </c>
      <c r="P63" s="155">
        <f t="shared" si="23"/>
        <v>-7169237.0238688523</v>
      </c>
      <c r="Q63" s="155">
        <f t="shared" si="23"/>
        <v>-6402946.969133934</v>
      </c>
      <c r="R63" s="155">
        <f t="shared" si="23"/>
        <v>-5596867.3998530079</v>
      </c>
      <c r="S63" s="155">
        <f t="shared" si="23"/>
        <v>-4747864.2819437608</v>
      </c>
      <c r="T63" s="155">
        <f t="shared" si="23"/>
        <v>-3897977.5962928766</v>
      </c>
      <c r="U63" s="155">
        <f t="shared" si="23"/>
        <v>-2952902.3057871321</v>
      </c>
      <c r="V63" s="155">
        <f t="shared" si="23"/>
        <v>-1954230.7078749</v>
      </c>
      <c r="W63" s="155">
        <f t="shared" si="23"/>
        <v>-897931.43910853402</v>
      </c>
      <c r="X63" s="155">
        <f t="shared" si="23"/>
        <v>220291.43593398877</v>
      </c>
      <c r="Y63" s="155">
        <f t="shared" si="23"/>
        <v>1365874.7882826643</v>
      </c>
      <c r="Z63" s="155">
        <f t="shared" si="23"/>
        <v>2621983.7116064113</v>
      </c>
      <c r="AA63" s="155">
        <f t="shared" si="23"/>
        <v>3954680.7533854675</v>
      </c>
      <c r="AB63" s="155">
        <f t="shared" si="23"/>
        <v>5369515.9315038389</v>
      </c>
      <c r="AC63" s="155">
        <f t="shared" si="23"/>
        <v>6837631.4642723193</v>
      </c>
    </row>
  </sheetData>
  <mergeCells count="11">
    <mergeCell ref="M12:O12"/>
    <mergeCell ref="A21:B21"/>
    <mergeCell ref="A17:B17"/>
    <mergeCell ref="A4:A5"/>
    <mergeCell ref="B4:B5"/>
    <mergeCell ref="C4:E4"/>
    <mergeCell ref="C15:E15"/>
    <mergeCell ref="A16:B16"/>
    <mergeCell ref="A18:B18"/>
    <mergeCell ref="A19:B19"/>
    <mergeCell ref="A20:B20"/>
  </mergeCells>
  <pageMargins left="0.7" right="0.7" top="0.75" bottom="0.75" header="0.3" footer="0.3"/>
  <pageSetup paperSize="3" scale="56"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6D67-7651-4495-9C14-68A7480DC462}">
  <sheetPr>
    <pageSetUpPr fitToPage="1"/>
  </sheetPr>
  <dimension ref="A1:AI35"/>
  <sheetViews>
    <sheetView topLeftCell="O10" workbookViewId="0">
      <selection activeCell="A33" sqref="A33"/>
    </sheetView>
  </sheetViews>
  <sheetFormatPr defaultRowHeight="15" x14ac:dyDescent="0.25"/>
  <cols>
    <col min="1" max="1" width="26.5703125" customWidth="1"/>
    <col min="2" max="2" width="11.28515625" customWidth="1"/>
    <col min="3" max="3" width="18.7109375" customWidth="1"/>
    <col min="4" max="30" width="10.140625" bestFit="1" customWidth="1"/>
  </cols>
  <sheetData>
    <row r="1" spans="1:35" ht="23.25" customHeight="1" x14ac:dyDescent="0.35">
      <c r="A1" s="102" t="s">
        <v>341</v>
      </c>
      <c r="B1" s="102"/>
      <c r="C1" s="55"/>
      <c r="D1" s="55"/>
      <c r="E1" s="55"/>
    </row>
    <row r="3" spans="1:35" x14ac:dyDescent="0.25">
      <c r="A3" s="9" t="s">
        <v>239</v>
      </c>
      <c r="B3" s="67" t="s">
        <v>63</v>
      </c>
      <c r="C3" s="99">
        <v>11600000</v>
      </c>
      <c r="E3" s="103"/>
    </row>
    <row r="4" spans="1:35" x14ac:dyDescent="0.25">
      <c r="A4" s="9" t="s">
        <v>240</v>
      </c>
      <c r="B4" s="67" t="s">
        <v>63</v>
      </c>
      <c r="C4" s="99">
        <v>210300</v>
      </c>
      <c r="E4" s="103"/>
    </row>
    <row r="5" spans="1:35" x14ac:dyDescent="0.25">
      <c r="A5" s="103" t="s">
        <v>340</v>
      </c>
      <c r="B5" s="67"/>
      <c r="C5" s="222"/>
      <c r="D5" s="103"/>
      <c r="E5" s="103"/>
    </row>
    <row r="6" spans="1:35" x14ac:dyDescent="0.25">
      <c r="A6" t="s">
        <v>339</v>
      </c>
    </row>
    <row r="8" spans="1:35" x14ac:dyDescent="0.25">
      <c r="A8" s="2"/>
      <c r="B8" s="3" t="s">
        <v>5</v>
      </c>
      <c r="C8" s="4" t="s">
        <v>6</v>
      </c>
      <c r="D8" s="5">
        <v>2020</v>
      </c>
      <c r="E8" s="5">
        <f t="shared" ref="E8:AD8" si="0">D8+1</f>
        <v>2021</v>
      </c>
      <c r="F8" s="5">
        <f t="shared" si="0"/>
        <v>2022</v>
      </c>
      <c r="G8" s="5">
        <f t="shared" si="0"/>
        <v>2023</v>
      </c>
      <c r="H8" s="5">
        <f t="shared" si="0"/>
        <v>2024</v>
      </c>
      <c r="I8" s="5">
        <f t="shared" si="0"/>
        <v>2025</v>
      </c>
      <c r="J8" s="5">
        <f t="shared" si="0"/>
        <v>2026</v>
      </c>
      <c r="K8" s="5">
        <f t="shared" si="0"/>
        <v>2027</v>
      </c>
      <c r="L8" s="5">
        <f t="shared" si="0"/>
        <v>2028</v>
      </c>
      <c r="M8" s="5">
        <f t="shared" si="0"/>
        <v>2029</v>
      </c>
      <c r="N8" s="5">
        <f t="shared" si="0"/>
        <v>2030</v>
      </c>
      <c r="O8" s="5">
        <f t="shared" si="0"/>
        <v>2031</v>
      </c>
      <c r="P8" s="5">
        <f t="shared" si="0"/>
        <v>2032</v>
      </c>
      <c r="Q8" s="5">
        <f t="shared" si="0"/>
        <v>2033</v>
      </c>
      <c r="R8" s="5">
        <f t="shared" si="0"/>
        <v>2034</v>
      </c>
      <c r="S8" s="5">
        <f t="shared" si="0"/>
        <v>2035</v>
      </c>
      <c r="T8" s="5">
        <f t="shared" si="0"/>
        <v>2036</v>
      </c>
      <c r="U8" s="5">
        <f t="shared" si="0"/>
        <v>2037</v>
      </c>
      <c r="V8" s="5">
        <f t="shared" si="0"/>
        <v>2038</v>
      </c>
      <c r="W8" s="5">
        <f t="shared" si="0"/>
        <v>2039</v>
      </c>
      <c r="X8" s="5">
        <f t="shared" si="0"/>
        <v>2040</v>
      </c>
      <c r="Y8" s="5">
        <f t="shared" si="0"/>
        <v>2041</v>
      </c>
      <c r="Z8" s="5">
        <f t="shared" si="0"/>
        <v>2042</v>
      </c>
      <c r="AA8" s="5">
        <f t="shared" si="0"/>
        <v>2043</v>
      </c>
      <c r="AB8" s="5">
        <f t="shared" si="0"/>
        <v>2044</v>
      </c>
      <c r="AC8" s="5">
        <f t="shared" si="0"/>
        <v>2045</v>
      </c>
      <c r="AD8" s="5">
        <f t="shared" si="0"/>
        <v>2046</v>
      </c>
    </row>
    <row r="9" spans="1:35" ht="18.75" x14ac:dyDescent="0.3">
      <c r="A9" s="57" t="s">
        <v>57</v>
      </c>
      <c r="B9" s="58" t="s">
        <v>61</v>
      </c>
      <c r="C9" s="6"/>
      <c r="D9" s="1">
        <v>0</v>
      </c>
      <c r="E9" s="1">
        <v>0</v>
      </c>
      <c r="F9" s="1">
        <v>0</v>
      </c>
      <c r="G9" s="1">
        <v>0</v>
      </c>
      <c r="H9" s="1">
        <v>0</v>
      </c>
      <c r="I9" s="1">
        <v>0</v>
      </c>
      <c r="J9" s="1">
        <v>0</v>
      </c>
      <c r="K9" s="1">
        <v>1</v>
      </c>
      <c r="L9" s="1">
        <v>2</v>
      </c>
      <c r="M9" s="1">
        <v>3</v>
      </c>
      <c r="N9" s="1">
        <v>4</v>
      </c>
      <c r="O9" s="1">
        <v>5</v>
      </c>
      <c r="P9" s="1">
        <v>6</v>
      </c>
      <c r="Q9" s="1">
        <v>7</v>
      </c>
      <c r="R9" s="1">
        <v>8</v>
      </c>
      <c r="S9" s="1">
        <v>9</v>
      </c>
      <c r="T9" s="1">
        <v>10</v>
      </c>
      <c r="U9" s="1">
        <v>11</v>
      </c>
      <c r="V9" s="1">
        <v>12</v>
      </c>
      <c r="W9" s="1">
        <v>13</v>
      </c>
      <c r="X9" s="1">
        <v>14</v>
      </c>
      <c r="Y9" s="1">
        <v>15</v>
      </c>
      <c r="Z9" s="1">
        <v>16</v>
      </c>
      <c r="AA9" s="1">
        <v>17</v>
      </c>
      <c r="AB9" s="1">
        <v>18</v>
      </c>
      <c r="AC9" s="1">
        <v>19</v>
      </c>
      <c r="AD9" s="1">
        <v>20</v>
      </c>
      <c r="AE9" s="1"/>
      <c r="AF9" s="1"/>
      <c r="AG9" s="1"/>
      <c r="AH9" s="1"/>
      <c r="AI9" s="1"/>
    </row>
    <row r="10" spans="1:35" x14ac:dyDescent="0.25">
      <c r="A10" s="57" t="s">
        <v>58</v>
      </c>
      <c r="B10" s="59" t="s">
        <v>7</v>
      </c>
      <c r="C10" s="60">
        <v>7.0000000000000007E-2</v>
      </c>
      <c r="D10" s="51">
        <f>1/(1+0.07)^(D8-$D$8)</f>
        <v>1</v>
      </c>
      <c r="E10" s="51">
        <f>1/(1+0.07)^(E8-$D$8)</f>
        <v>0.93457943925233644</v>
      </c>
      <c r="F10" s="51">
        <f t="shared" ref="F10:AD10" si="1">1/(1+0.07)^(F8-$D$8)</f>
        <v>0.87343872827321156</v>
      </c>
      <c r="G10" s="51">
        <f t="shared" si="1"/>
        <v>0.81629787689085187</v>
      </c>
      <c r="H10" s="51">
        <f t="shared" si="1"/>
        <v>0.7628952120475252</v>
      </c>
      <c r="I10" s="51">
        <f t="shared" si="1"/>
        <v>0.71298617948366838</v>
      </c>
      <c r="J10" s="51">
        <f t="shared" si="1"/>
        <v>0.66634222381651254</v>
      </c>
      <c r="K10" s="51">
        <f t="shared" si="1"/>
        <v>0.62274974188459109</v>
      </c>
      <c r="L10" s="51">
        <f t="shared" si="1"/>
        <v>0.5820091045650384</v>
      </c>
      <c r="M10" s="51">
        <f t="shared" si="1"/>
        <v>0.54393374258414806</v>
      </c>
      <c r="N10" s="51">
        <f t="shared" si="1"/>
        <v>0.5083492921347178</v>
      </c>
      <c r="O10" s="51">
        <f t="shared" si="1"/>
        <v>0.47509279638758667</v>
      </c>
      <c r="P10" s="51">
        <f t="shared" si="1"/>
        <v>0.44401195924073528</v>
      </c>
      <c r="Q10" s="51">
        <f t="shared" si="1"/>
        <v>0.41496444788853759</v>
      </c>
      <c r="R10" s="51">
        <f t="shared" si="1"/>
        <v>0.3878172410173249</v>
      </c>
      <c r="S10" s="51">
        <f t="shared" si="1"/>
        <v>0.36244601964235967</v>
      </c>
      <c r="T10" s="51">
        <f t="shared" si="1"/>
        <v>0.33873459779659787</v>
      </c>
      <c r="U10" s="51">
        <f t="shared" si="1"/>
        <v>0.31657439046411018</v>
      </c>
      <c r="V10" s="51">
        <f t="shared" si="1"/>
        <v>0.29586391632159825</v>
      </c>
      <c r="W10" s="51">
        <f t="shared" si="1"/>
        <v>0.27650833301083949</v>
      </c>
      <c r="X10" s="51">
        <f t="shared" si="1"/>
        <v>0.2584190028138687</v>
      </c>
      <c r="Y10" s="51">
        <f t="shared" si="1"/>
        <v>0.24151308674193336</v>
      </c>
      <c r="Z10" s="51">
        <f t="shared" si="1"/>
        <v>0.22571316517937698</v>
      </c>
      <c r="AA10" s="51">
        <f>1/(1+0.07)^(AA8-$D$8)</f>
        <v>0.21094688334521211</v>
      </c>
      <c r="AB10" s="51">
        <f t="shared" si="1"/>
        <v>0.19714661994879637</v>
      </c>
      <c r="AC10" s="51">
        <f t="shared" si="1"/>
        <v>0.18424917752223957</v>
      </c>
      <c r="AD10" s="51">
        <f t="shared" si="1"/>
        <v>0.17219549301143888</v>
      </c>
    </row>
    <row r="11" spans="1:35" x14ac:dyDescent="0.25">
      <c r="A11" s="57" t="s">
        <v>58</v>
      </c>
      <c r="B11" s="59" t="s">
        <v>7</v>
      </c>
      <c r="C11" s="60">
        <v>0.03</v>
      </c>
      <c r="D11" s="51">
        <f>1/(1+0.03)^(D8-$D$8)</f>
        <v>1</v>
      </c>
      <c r="E11" s="51">
        <f>1/(1+0.03)^(E8-$D$8)</f>
        <v>0.970873786407767</v>
      </c>
      <c r="F11" s="51">
        <f t="shared" ref="F11:AD11" si="2">1/(1+0.03)^(F8-$D$8)</f>
        <v>0.94259590913375435</v>
      </c>
      <c r="G11" s="51">
        <f t="shared" si="2"/>
        <v>0.91514165935315961</v>
      </c>
      <c r="H11" s="51">
        <f t="shared" si="2"/>
        <v>0.888487047915689</v>
      </c>
      <c r="I11" s="51">
        <f t="shared" si="2"/>
        <v>0.86260878438416411</v>
      </c>
      <c r="J11" s="51">
        <f t="shared" si="2"/>
        <v>0.83748425668365445</v>
      </c>
      <c r="K11" s="51">
        <f t="shared" si="2"/>
        <v>0.81309151134335378</v>
      </c>
      <c r="L11" s="51">
        <f t="shared" si="2"/>
        <v>0.78940923431393573</v>
      </c>
      <c r="M11" s="51">
        <f t="shared" si="2"/>
        <v>0.76641673234362695</v>
      </c>
      <c r="N11" s="51">
        <f t="shared" si="2"/>
        <v>0.74409391489672516</v>
      </c>
      <c r="O11" s="51">
        <f t="shared" si="2"/>
        <v>0.72242127659876232</v>
      </c>
      <c r="P11" s="51">
        <f t="shared" si="2"/>
        <v>0.70137988019297326</v>
      </c>
      <c r="Q11" s="51">
        <f t="shared" si="2"/>
        <v>0.68095133999317792</v>
      </c>
      <c r="R11" s="51">
        <f t="shared" si="2"/>
        <v>0.66111780581861923</v>
      </c>
      <c r="S11" s="51">
        <f t="shared" si="2"/>
        <v>0.64186194739671765</v>
      </c>
      <c r="T11" s="51">
        <f t="shared" si="2"/>
        <v>0.62316693922011435</v>
      </c>
      <c r="U11" s="51">
        <f t="shared" si="2"/>
        <v>0.60501644584477121</v>
      </c>
      <c r="V11" s="51">
        <f t="shared" si="2"/>
        <v>0.5873946076162827</v>
      </c>
      <c r="W11" s="51">
        <f t="shared" si="2"/>
        <v>0.57028602681192497</v>
      </c>
      <c r="X11" s="51">
        <f t="shared" si="2"/>
        <v>0.55367575418633497</v>
      </c>
      <c r="Y11" s="51">
        <f t="shared" si="2"/>
        <v>0.5375492759090631</v>
      </c>
      <c r="Z11" s="51">
        <f t="shared" si="2"/>
        <v>0.52189250088258554</v>
      </c>
      <c r="AA11" s="51">
        <f t="shared" si="2"/>
        <v>0.50669174842969467</v>
      </c>
      <c r="AB11" s="51">
        <f t="shared" si="2"/>
        <v>0.49193373633950943</v>
      </c>
      <c r="AC11" s="51">
        <f t="shared" si="2"/>
        <v>0.47760556926165965</v>
      </c>
      <c r="AD11" s="51">
        <f t="shared" si="2"/>
        <v>0.46369472743850448</v>
      </c>
    </row>
    <row r="12" spans="1:35" x14ac:dyDescent="0.25">
      <c r="B12" s="56"/>
      <c r="E12" s="192"/>
      <c r="F12" s="192"/>
      <c r="G12" s="192"/>
      <c r="H12" s="192"/>
      <c r="I12" s="192"/>
      <c r="J12" s="192"/>
      <c r="K12" s="192"/>
      <c r="L12" s="192"/>
      <c r="M12" s="192"/>
    </row>
    <row r="13" spans="1:35" x14ac:dyDescent="0.25">
      <c r="A13" s="9"/>
      <c r="B13" s="7"/>
      <c r="C13" s="8"/>
      <c r="D13" s="11"/>
      <c r="E13" s="11"/>
    </row>
    <row r="14" spans="1:35" x14ac:dyDescent="0.25">
      <c r="A14" s="12" t="s">
        <v>62</v>
      </c>
      <c r="B14" s="3" t="s">
        <v>5</v>
      </c>
      <c r="C14" s="4" t="s">
        <v>6</v>
      </c>
      <c r="D14" s="5">
        <v>2020</v>
      </c>
      <c r="E14" s="5">
        <f t="shared" ref="E14:AD14" si="3">D14+1</f>
        <v>2021</v>
      </c>
      <c r="F14" s="5">
        <f t="shared" si="3"/>
        <v>2022</v>
      </c>
      <c r="G14" s="5">
        <f t="shared" si="3"/>
        <v>2023</v>
      </c>
      <c r="H14" s="5">
        <f t="shared" si="3"/>
        <v>2024</v>
      </c>
      <c r="I14" s="5">
        <f t="shared" si="3"/>
        <v>2025</v>
      </c>
      <c r="J14" s="5">
        <f t="shared" si="3"/>
        <v>2026</v>
      </c>
      <c r="K14" s="5">
        <f t="shared" si="3"/>
        <v>2027</v>
      </c>
      <c r="L14" s="5">
        <f t="shared" si="3"/>
        <v>2028</v>
      </c>
      <c r="M14" s="5">
        <f t="shared" si="3"/>
        <v>2029</v>
      </c>
      <c r="N14" s="5">
        <f t="shared" si="3"/>
        <v>2030</v>
      </c>
      <c r="O14" s="5">
        <f t="shared" si="3"/>
        <v>2031</v>
      </c>
      <c r="P14" s="5">
        <f t="shared" si="3"/>
        <v>2032</v>
      </c>
      <c r="Q14" s="5">
        <f t="shared" si="3"/>
        <v>2033</v>
      </c>
      <c r="R14" s="5">
        <f t="shared" si="3"/>
        <v>2034</v>
      </c>
      <c r="S14" s="5">
        <f t="shared" si="3"/>
        <v>2035</v>
      </c>
      <c r="T14" s="5">
        <f t="shared" si="3"/>
        <v>2036</v>
      </c>
      <c r="U14" s="5">
        <f t="shared" si="3"/>
        <v>2037</v>
      </c>
      <c r="V14" s="5">
        <f t="shared" si="3"/>
        <v>2038</v>
      </c>
      <c r="W14" s="5">
        <f t="shared" si="3"/>
        <v>2039</v>
      </c>
      <c r="X14" s="5">
        <f t="shared" si="3"/>
        <v>2040</v>
      </c>
      <c r="Y14" s="5">
        <f t="shared" si="3"/>
        <v>2041</v>
      </c>
      <c r="Z14" s="5">
        <f t="shared" si="3"/>
        <v>2042</v>
      </c>
      <c r="AA14" s="5">
        <f t="shared" si="3"/>
        <v>2043</v>
      </c>
      <c r="AB14" s="5">
        <f t="shared" si="3"/>
        <v>2044</v>
      </c>
      <c r="AC14" s="5">
        <f t="shared" si="3"/>
        <v>2045</v>
      </c>
      <c r="AD14" s="5">
        <f t="shared" si="3"/>
        <v>2046</v>
      </c>
    </row>
    <row r="15" spans="1:35" x14ac:dyDescent="0.25">
      <c r="B15" s="66"/>
      <c r="C15" s="63"/>
      <c r="D15" s="64"/>
      <c r="E15" s="64"/>
    </row>
    <row r="16" spans="1:35" x14ac:dyDescent="0.25">
      <c r="A16" t="s">
        <v>134</v>
      </c>
      <c r="B16" t="s">
        <v>353</v>
      </c>
      <c r="D16" s="65">
        <v>47</v>
      </c>
      <c r="E16" s="65">
        <v>47</v>
      </c>
      <c r="F16" s="65">
        <v>47</v>
      </c>
      <c r="G16" s="65">
        <v>47</v>
      </c>
      <c r="H16" s="65">
        <v>47</v>
      </c>
      <c r="I16" s="65">
        <v>47</v>
      </c>
      <c r="J16" s="65">
        <v>47</v>
      </c>
      <c r="K16" s="65">
        <v>47</v>
      </c>
      <c r="L16" s="65">
        <v>47</v>
      </c>
      <c r="M16" s="65">
        <v>47</v>
      </c>
      <c r="N16" s="65">
        <v>47</v>
      </c>
      <c r="O16" s="65">
        <v>47</v>
      </c>
      <c r="P16" s="65">
        <v>47</v>
      </c>
      <c r="Q16" s="65">
        <v>47</v>
      </c>
      <c r="R16" s="65">
        <v>47</v>
      </c>
      <c r="S16" s="65">
        <v>47</v>
      </c>
      <c r="T16" s="65">
        <v>47</v>
      </c>
      <c r="U16" s="65">
        <v>47</v>
      </c>
      <c r="V16" s="65">
        <v>47</v>
      </c>
      <c r="W16" s="65">
        <v>47</v>
      </c>
      <c r="X16" s="65">
        <v>47</v>
      </c>
      <c r="Y16" s="65">
        <v>47</v>
      </c>
      <c r="Z16" s="65">
        <v>47</v>
      </c>
      <c r="AA16" s="65">
        <v>47</v>
      </c>
      <c r="AB16" s="65">
        <v>47</v>
      </c>
      <c r="AC16" s="65">
        <v>47</v>
      </c>
      <c r="AD16" s="65">
        <v>47</v>
      </c>
    </row>
    <row r="17" spans="1:30" x14ac:dyDescent="0.25">
      <c r="B17" s="66"/>
      <c r="C17" s="63"/>
      <c r="D17" s="64"/>
      <c r="E17" s="64"/>
    </row>
    <row r="18" spans="1:30" x14ac:dyDescent="0.25">
      <c r="A18" s="9" t="s">
        <v>241</v>
      </c>
      <c r="B18" s="7"/>
      <c r="C18" s="8"/>
      <c r="D18" s="53">
        <f>D16*$C$4</f>
        <v>9884100</v>
      </c>
      <c r="E18" s="53">
        <f t="shared" ref="E18:AD18" si="4">E16*$C$4</f>
        <v>9884100</v>
      </c>
      <c r="F18" s="53">
        <f t="shared" si="4"/>
        <v>9884100</v>
      </c>
      <c r="G18" s="53">
        <f t="shared" si="4"/>
        <v>9884100</v>
      </c>
      <c r="H18" s="53">
        <f t="shared" si="4"/>
        <v>9884100</v>
      </c>
      <c r="I18" s="53">
        <f t="shared" si="4"/>
        <v>9884100</v>
      </c>
      <c r="J18" s="53">
        <f t="shared" si="4"/>
        <v>9884100</v>
      </c>
      <c r="K18" s="53">
        <f t="shared" si="4"/>
        <v>9884100</v>
      </c>
      <c r="L18" s="53">
        <f t="shared" si="4"/>
        <v>9884100</v>
      </c>
      <c r="M18" s="53">
        <f t="shared" si="4"/>
        <v>9884100</v>
      </c>
      <c r="N18" s="53">
        <f t="shared" si="4"/>
        <v>9884100</v>
      </c>
      <c r="O18" s="53">
        <f t="shared" si="4"/>
        <v>9884100</v>
      </c>
      <c r="P18" s="53">
        <f t="shared" si="4"/>
        <v>9884100</v>
      </c>
      <c r="Q18" s="53">
        <f t="shared" si="4"/>
        <v>9884100</v>
      </c>
      <c r="R18" s="53">
        <f t="shared" si="4"/>
        <v>9884100</v>
      </c>
      <c r="S18" s="53">
        <f t="shared" si="4"/>
        <v>9884100</v>
      </c>
      <c r="T18" s="53">
        <f t="shared" si="4"/>
        <v>9884100</v>
      </c>
      <c r="U18" s="53">
        <f t="shared" si="4"/>
        <v>9884100</v>
      </c>
      <c r="V18" s="53">
        <f t="shared" si="4"/>
        <v>9884100</v>
      </c>
      <c r="W18" s="53">
        <f t="shared" si="4"/>
        <v>9884100</v>
      </c>
      <c r="X18" s="53">
        <f t="shared" si="4"/>
        <v>9884100</v>
      </c>
      <c r="Y18" s="53">
        <f t="shared" si="4"/>
        <v>9884100</v>
      </c>
      <c r="Z18" s="53">
        <f t="shared" si="4"/>
        <v>9884100</v>
      </c>
      <c r="AA18" s="53">
        <f t="shared" si="4"/>
        <v>9884100</v>
      </c>
      <c r="AB18" s="53">
        <f t="shared" si="4"/>
        <v>9884100</v>
      </c>
      <c r="AC18" s="53">
        <f t="shared" si="4"/>
        <v>9884100</v>
      </c>
      <c r="AD18" s="53">
        <f t="shared" si="4"/>
        <v>9884100</v>
      </c>
    </row>
    <row r="19" spans="1:30" x14ac:dyDescent="0.25">
      <c r="D19" s="68"/>
      <c r="E19" s="68"/>
    </row>
    <row r="20" spans="1:30" x14ac:dyDescent="0.25">
      <c r="A20" s="12" t="s">
        <v>296</v>
      </c>
      <c r="B20" s="3" t="s">
        <v>5</v>
      </c>
      <c r="C20" s="4" t="s">
        <v>6</v>
      </c>
      <c r="D20" s="5">
        <v>2020</v>
      </c>
      <c r="E20" s="5">
        <f t="shared" ref="E20:AD20" si="5">D20+1</f>
        <v>2021</v>
      </c>
      <c r="F20" s="5">
        <f t="shared" si="5"/>
        <v>2022</v>
      </c>
      <c r="G20" s="5">
        <f t="shared" si="5"/>
        <v>2023</v>
      </c>
      <c r="H20" s="5">
        <f t="shared" si="5"/>
        <v>2024</v>
      </c>
      <c r="I20" s="5">
        <f t="shared" si="5"/>
        <v>2025</v>
      </c>
      <c r="J20" s="5">
        <f t="shared" si="5"/>
        <v>2026</v>
      </c>
      <c r="K20" s="5">
        <f t="shared" si="5"/>
        <v>2027</v>
      </c>
      <c r="L20" s="5">
        <f t="shared" si="5"/>
        <v>2028</v>
      </c>
      <c r="M20" s="5">
        <f t="shared" si="5"/>
        <v>2029</v>
      </c>
      <c r="N20" s="5">
        <f t="shared" si="5"/>
        <v>2030</v>
      </c>
      <c r="O20" s="5">
        <f t="shared" si="5"/>
        <v>2031</v>
      </c>
      <c r="P20" s="5">
        <f t="shared" si="5"/>
        <v>2032</v>
      </c>
      <c r="Q20" s="5">
        <f t="shared" si="5"/>
        <v>2033</v>
      </c>
      <c r="R20" s="5">
        <f t="shared" si="5"/>
        <v>2034</v>
      </c>
      <c r="S20" s="5">
        <f t="shared" si="5"/>
        <v>2035</v>
      </c>
      <c r="T20" s="5">
        <f t="shared" si="5"/>
        <v>2036</v>
      </c>
      <c r="U20" s="5">
        <f t="shared" si="5"/>
        <v>2037</v>
      </c>
      <c r="V20" s="5">
        <f t="shared" si="5"/>
        <v>2038</v>
      </c>
      <c r="W20" s="5">
        <f t="shared" si="5"/>
        <v>2039</v>
      </c>
      <c r="X20" s="5">
        <f t="shared" si="5"/>
        <v>2040</v>
      </c>
      <c r="Y20" s="5">
        <f t="shared" si="5"/>
        <v>2041</v>
      </c>
      <c r="Z20" s="5">
        <f t="shared" si="5"/>
        <v>2042</v>
      </c>
      <c r="AA20" s="5">
        <f t="shared" si="5"/>
        <v>2043</v>
      </c>
      <c r="AB20" s="5">
        <f t="shared" si="5"/>
        <v>2044</v>
      </c>
      <c r="AC20" s="5">
        <f t="shared" si="5"/>
        <v>2045</v>
      </c>
      <c r="AD20" s="5">
        <f t="shared" si="5"/>
        <v>2046</v>
      </c>
    </row>
    <row r="21" spans="1:30" x14ac:dyDescent="0.25">
      <c r="B21" s="66"/>
      <c r="C21" s="63"/>
      <c r="D21" s="64"/>
      <c r="E21" s="64"/>
    </row>
    <row r="22" spans="1:30" x14ac:dyDescent="0.25">
      <c r="A22" t="s">
        <v>134</v>
      </c>
      <c r="B22" t="s">
        <v>362</v>
      </c>
      <c r="D22" s="65">
        <f>D16</f>
        <v>47</v>
      </c>
      <c r="E22" s="65">
        <f t="shared" ref="E22:J22" si="6">E16</f>
        <v>47</v>
      </c>
      <c r="F22" s="65">
        <f t="shared" si="6"/>
        <v>47</v>
      </c>
      <c r="G22" s="65">
        <f t="shared" si="6"/>
        <v>47</v>
      </c>
      <c r="H22" s="65">
        <f t="shared" si="6"/>
        <v>47</v>
      </c>
      <c r="I22" s="65">
        <f t="shared" si="6"/>
        <v>47</v>
      </c>
      <c r="J22" s="65">
        <f t="shared" si="6"/>
        <v>47</v>
      </c>
      <c r="K22" s="199">
        <f>K16*0.978</f>
        <v>45.966000000000001</v>
      </c>
      <c r="L22" s="199">
        <f t="shared" ref="L22:AD22" si="7">L16*0.978</f>
        <v>45.966000000000001</v>
      </c>
      <c r="M22" s="199">
        <f t="shared" si="7"/>
        <v>45.966000000000001</v>
      </c>
      <c r="N22" s="199">
        <f t="shared" si="7"/>
        <v>45.966000000000001</v>
      </c>
      <c r="O22" s="199">
        <f t="shared" si="7"/>
        <v>45.966000000000001</v>
      </c>
      <c r="P22" s="199">
        <f t="shared" si="7"/>
        <v>45.966000000000001</v>
      </c>
      <c r="Q22" s="199">
        <f t="shared" si="7"/>
        <v>45.966000000000001</v>
      </c>
      <c r="R22" s="199">
        <f t="shared" si="7"/>
        <v>45.966000000000001</v>
      </c>
      <c r="S22" s="199">
        <f t="shared" si="7"/>
        <v>45.966000000000001</v>
      </c>
      <c r="T22" s="199">
        <f t="shared" si="7"/>
        <v>45.966000000000001</v>
      </c>
      <c r="U22" s="199">
        <f t="shared" si="7"/>
        <v>45.966000000000001</v>
      </c>
      <c r="V22" s="199">
        <f t="shared" si="7"/>
        <v>45.966000000000001</v>
      </c>
      <c r="W22" s="199">
        <f t="shared" si="7"/>
        <v>45.966000000000001</v>
      </c>
      <c r="X22" s="199">
        <f t="shared" si="7"/>
        <v>45.966000000000001</v>
      </c>
      <c r="Y22" s="199">
        <f t="shared" si="7"/>
        <v>45.966000000000001</v>
      </c>
      <c r="Z22" s="199">
        <f t="shared" si="7"/>
        <v>45.966000000000001</v>
      </c>
      <c r="AA22" s="199">
        <f t="shared" si="7"/>
        <v>45.966000000000001</v>
      </c>
      <c r="AB22" s="199">
        <f t="shared" si="7"/>
        <v>45.966000000000001</v>
      </c>
      <c r="AC22" s="199">
        <f t="shared" si="7"/>
        <v>45.966000000000001</v>
      </c>
      <c r="AD22" s="199">
        <f t="shared" si="7"/>
        <v>45.966000000000001</v>
      </c>
    </row>
    <row r="23" spans="1:30" x14ac:dyDescent="0.25">
      <c r="A23" s="9"/>
      <c r="B23" s="61"/>
      <c r="C23" s="8"/>
      <c r="D23" s="68"/>
      <c r="E23" s="68"/>
    </row>
    <row r="24" spans="1:30" x14ac:dyDescent="0.25">
      <c r="A24" s="9" t="s">
        <v>242</v>
      </c>
      <c r="C24" s="68"/>
      <c r="D24" s="53">
        <f>D22*$C$4</f>
        <v>9884100</v>
      </c>
      <c r="E24" s="53">
        <f t="shared" ref="E24:AD24" si="8">E22*$C$4</f>
        <v>9884100</v>
      </c>
      <c r="F24" s="53">
        <f t="shared" si="8"/>
        <v>9884100</v>
      </c>
      <c r="G24" s="53">
        <f t="shared" si="8"/>
        <v>9884100</v>
      </c>
      <c r="H24" s="53">
        <f t="shared" si="8"/>
        <v>9884100</v>
      </c>
      <c r="I24" s="53">
        <f t="shared" si="8"/>
        <v>9884100</v>
      </c>
      <c r="J24" s="53">
        <f t="shared" si="8"/>
        <v>9884100</v>
      </c>
      <c r="K24" s="53">
        <f t="shared" si="8"/>
        <v>9666649.8000000007</v>
      </c>
      <c r="L24" s="53">
        <f t="shared" si="8"/>
        <v>9666649.8000000007</v>
      </c>
      <c r="M24" s="53">
        <f t="shared" si="8"/>
        <v>9666649.8000000007</v>
      </c>
      <c r="N24" s="53">
        <f t="shared" si="8"/>
        <v>9666649.8000000007</v>
      </c>
      <c r="O24" s="53">
        <f t="shared" si="8"/>
        <v>9666649.8000000007</v>
      </c>
      <c r="P24" s="53">
        <f t="shared" si="8"/>
        <v>9666649.8000000007</v>
      </c>
      <c r="Q24" s="53">
        <f t="shared" si="8"/>
        <v>9666649.8000000007</v>
      </c>
      <c r="R24" s="53">
        <f t="shared" si="8"/>
        <v>9666649.8000000007</v>
      </c>
      <c r="S24" s="53">
        <f t="shared" si="8"/>
        <v>9666649.8000000007</v>
      </c>
      <c r="T24" s="53">
        <f t="shared" si="8"/>
        <v>9666649.8000000007</v>
      </c>
      <c r="U24" s="53">
        <f t="shared" si="8"/>
        <v>9666649.8000000007</v>
      </c>
      <c r="V24" s="53">
        <f t="shared" si="8"/>
        <v>9666649.8000000007</v>
      </c>
      <c r="W24" s="53">
        <f t="shared" si="8"/>
        <v>9666649.8000000007</v>
      </c>
      <c r="X24" s="53">
        <f t="shared" si="8"/>
        <v>9666649.8000000007</v>
      </c>
      <c r="Y24" s="53">
        <f t="shared" si="8"/>
        <v>9666649.8000000007</v>
      </c>
      <c r="Z24" s="53">
        <f t="shared" si="8"/>
        <v>9666649.8000000007</v>
      </c>
      <c r="AA24" s="53">
        <f t="shared" si="8"/>
        <v>9666649.8000000007</v>
      </c>
      <c r="AB24" s="53">
        <f t="shared" si="8"/>
        <v>9666649.8000000007</v>
      </c>
      <c r="AC24" s="53">
        <f t="shared" si="8"/>
        <v>9666649.8000000007</v>
      </c>
      <c r="AD24" s="53">
        <f t="shared" si="8"/>
        <v>9666649.8000000007</v>
      </c>
    </row>
    <row r="26" spans="1:30" x14ac:dyDescent="0.25">
      <c r="A26" s="12" t="s">
        <v>64</v>
      </c>
      <c r="B26" s="3" t="s">
        <v>5</v>
      </c>
      <c r="C26" s="4" t="s">
        <v>6</v>
      </c>
      <c r="D26" s="5">
        <v>2020</v>
      </c>
      <c r="E26" s="5">
        <f t="shared" ref="E26:AD26" si="9">D26+1</f>
        <v>2021</v>
      </c>
      <c r="F26" s="5">
        <f t="shared" si="9"/>
        <v>2022</v>
      </c>
      <c r="G26" s="5">
        <f t="shared" si="9"/>
        <v>2023</v>
      </c>
      <c r="H26" s="5">
        <f t="shared" si="9"/>
        <v>2024</v>
      </c>
      <c r="I26" s="5">
        <f t="shared" si="9"/>
        <v>2025</v>
      </c>
      <c r="J26" s="5">
        <f t="shared" si="9"/>
        <v>2026</v>
      </c>
      <c r="K26" s="5">
        <f t="shared" si="9"/>
        <v>2027</v>
      </c>
      <c r="L26" s="5">
        <f t="shared" si="9"/>
        <v>2028</v>
      </c>
      <c r="M26" s="5">
        <f t="shared" si="9"/>
        <v>2029</v>
      </c>
      <c r="N26" s="5">
        <f t="shared" si="9"/>
        <v>2030</v>
      </c>
      <c r="O26" s="5">
        <f t="shared" si="9"/>
        <v>2031</v>
      </c>
      <c r="P26" s="5">
        <f t="shared" si="9"/>
        <v>2032</v>
      </c>
      <c r="Q26" s="5">
        <f t="shared" si="9"/>
        <v>2033</v>
      </c>
      <c r="R26" s="5">
        <f t="shared" si="9"/>
        <v>2034</v>
      </c>
      <c r="S26" s="5">
        <f t="shared" si="9"/>
        <v>2035</v>
      </c>
      <c r="T26" s="5">
        <f t="shared" si="9"/>
        <v>2036</v>
      </c>
      <c r="U26" s="5">
        <f t="shared" si="9"/>
        <v>2037</v>
      </c>
      <c r="V26" s="5">
        <f t="shared" si="9"/>
        <v>2038</v>
      </c>
      <c r="W26" s="5">
        <f t="shared" si="9"/>
        <v>2039</v>
      </c>
      <c r="X26" s="5">
        <f t="shared" si="9"/>
        <v>2040</v>
      </c>
      <c r="Y26" s="5">
        <f t="shared" si="9"/>
        <v>2041</v>
      </c>
      <c r="Z26" s="5">
        <f t="shared" si="9"/>
        <v>2042</v>
      </c>
      <c r="AA26" s="5">
        <f t="shared" si="9"/>
        <v>2043</v>
      </c>
      <c r="AB26" s="5">
        <f t="shared" si="9"/>
        <v>2044</v>
      </c>
      <c r="AC26" s="5">
        <f t="shared" si="9"/>
        <v>2045</v>
      </c>
      <c r="AD26" s="5">
        <f t="shared" si="9"/>
        <v>2046</v>
      </c>
    </row>
    <row r="27" spans="1:30" x14ac:dyDescent="0.25">
      <c r="A27" s="15" t="s">
        <v>65</v>
      </c>
      <c r="C27" s="68"/>
      <c r="D27" s="53">
        <f t="shared" ref="D27:AD27" si="10">D18-D24</f>
        <v>0</v>
      </c>
      <c r="E27" s="53">
        <f t="shared" si="10"/>
        <v>0</v>
      </c>
      <c r="F27" s="53">
        <f t="shared" si="10"/>
        <v>0</v>
      </c>
      <c r="G27" s="53">
        <f t="shared" si="10"/>
        <v>0</v>
      </c>
      <c r="H27" s="53">
        <f t="shared" si="10"/>
        <v>0</v>
      </c>
      <c r="I27" s="53">
        <f t="shared" si="10"/>
        <v>0</v>
      </c>
      <c r="J27" s="53">
        <f t="shared" si="10"/>
        <v>0</v>
      </c>
      <c r="K27" s="53">
        <f t="shared" si="10"/>
        <v>217450.19999999925</v>
      </c>
      <c r="L27" s="53">
        <f t="shared" si="10"/>
        <v>217450.19999999925</v>
      </c>
      <c r="M27" s="53">
        <f t="shared" si="10"/>
        <v>217450.19999999925</v>
      </c>
      <c r="N27" s="53">
        <f t="shared" si="10"/>
        <v>217450.19999999925</v>
      </c>
      <c r="O27" s="53">
        <f t="shared" si="10"/>
        <v>217450.19999999925</v>
      </c>
      <c r="P27" s="53">
        <f t="shared" si="10"/>
        <v>217450.19999999925</v>
      </c>
      <c r="Q27" s="53">
        <f t="shared" si="10"/>
        <v>217450.19999999925</v>
      </c>
      <c r="R27" s="53">
        <f t="shared" si="10"/>
        <v>217450.19999999925</v>
      </c>
      <c r="S27" s="53">
        <f t="shared" si="10"/>
        <v>217450.19999999925</v>
      </c>
      <c r="T27" s="53">
        <f t="shared" si="10"/>
        <v>217450.19999999925</v>
      </c>
      <c r="U27" s="53">
        <f t="shared" si="10"/>
        <v>217450.19999999925</v>
      </c>
      <c r="V27" s="53">
        <f t="shared" si="10"/>
        <v>217450.19999999925</v>
      </c>
      <c r="W27" s="53">
        <f t="shared" si="10"/>
        <v>217450.19999999925</v>
      </c>
      <c r="X27" s="53">
        <f t="shared" si="10"/>
        <v>217450.19999999925</v>
      </c>
      <c r="Y27" s="53">
        <f t="shared" si="10"/>
        <v>217450.19999999925</v>
      </c>
      <c r="Z27" s="53">
        <f t="shared" si="10"/>
        <v>217450.19999999925</v>
      </c>
      <c r="AA27" s="53">
        <f t="shared" si="10"/>
        <v>217450.19999999925</v>
      </c>
      <c r="AB27" s="53">
        <f t="shared" si="10"/>
        <v>217450.19999999925</v>
      </c>
      <c r="AC27" s="53">
        <f t="shared" si="10"/>
        <v>217450.19999999925</v>
      </c>
      <c r="AD27" s="53">
        <f t="shared" si="10"/>
        <v>217450.19999999925</v>
      </c>
    </row>
    <row r="28" spans="1:30" x14ac:dyDescent="0.25">
      <c r="A28" s="15" t="s">
        <v>66</v>
      </c>
      <c r="D28" s="53">
        <f t="shared" ref="D28:AD28" si="11">D27*D10</f>
        <v>0</v>
      </c>
      <c r="E28" s="53">
        <f t="shared" si="11"/>
        <v>0</v>
      </c>
      <c r="F28" s="53">
        <f t="shared" si="11"/>
        <v>0</v>
      </c>
      <c r="G28" s="53">
        <f t="shared" si="11"/>
        <v>0</v>
      </c>
      <c r="H28" s="53">
        <f t="shared" si="11"/>
        <v>0</v>
      </c>
      <c r="I28" s="53">
        <f t="shared" si="11"/>
        <v>0</v>
      </c>
      <c r="J28" s="53">
        <f t="shared" si="11"/>
        <v>0</v>
      </c>
      <c r="K28" s="53">
        <f t="shared" si="11"/>
        <v>135417.05592275225</v>
      </c>
      <c r="L28" s="53">
        <f t="shared" si="11"/>
        <v>126557.99618948808</v>
      </c>
      <c r="M28" s="53">
        <f t="shared" si="11"/>
        <v>118278.50111167111</v>
      </c>
      <c r="N28" s="53">
        <f t="shared" si="11"/>
        <v>110540.65524455243</v>
      </c>
      <c r="O28" s="53">
        <f t="shared" si="11"/>
        <v>103309.02359303964</v>
      </c>
      <c r="P28" s="53">
        <f t="shared" si="11"/>
        <v>96550.489339289401</v>
      </c>
      <c r="Q28" s="53">
        <f t="shared" si="11"/>
        <v>90234.102186251766</v>
      </c>
      <c r="R28" s="53">
        <f t="shared" si="11"/>
        <v>84330.93662266522</v>
      </c>
      <c r="S28" s="53">
        <f t="shared" si="11"/>
        <v>78813.959460434766</v>
      </c>
      <c r="T28" s="53">
        <f t="shared" si="11"/>
        <v>73657.906037789508</v>
      </c>
      <c r="U28" s="53">
        <f t="shared" si="11"/>
        <v>68839.164521298619</v>
      </c>
      <c r="V28" s="53">
        <f t="shared" si="11"/>
        <v>64335.667776914583</v>
      </c>
      <c r="W28" s="53">
        <f t="shared" si="11"/>
        <v>60126.792314873441</v>
      </c>
      <c r="X28" s="53">
        <f t="shared" si="11"/>
        <v>56193.26384567612</v>
      </c>
      <c r="Y28" s="53">
        <f t="shared" si="11"/>
        <v>52517.06901465058</v>
      </c>
      <c r="Z28" s="53">
        <f t="shared" si="11"/>
        <v>49081.372910888393</v>
      </c>
      <c r="AA28" s="53">
        <f t="shared" si="11"/>
        <v>45870.441972792883</v>
      </c>
      <c r="AB28" s="53">
        <f t="shared" si="11"/>
        <v>42869.571937189612</v>
      </c>
      <c r="AC28" s="53">
        <f t="shared" si="11"/>
        <v>40065.020502046362</v>
      </c>
      <c r="AD28" s="53">
        <f t="shared" si="11"/>
        <v>37443.944394435857</v>
      </c>
    </row>
    <row r="29" spans="1:30" x14ac:dyDescent="0.25">
      <c r="A29" s="15" t="s">
        <v>67</v>
      </c>
      <c r="D29" s="53">
        <f t="shared" ref="D29:AD29" si="12">D27*D11</f>
        <v>0</v>
      </c>
      <c r="E29" s="53">
        <f t="shared" si="12"/>
        <v>0</v>
      </c>
      <c r="F29" s="53">
        <f t="shared" si="12"/>
        <v>0</v>
      </c>
      <c r="G29" s="53">
        <f t="shared" si="12"/>
        <v>0</v>
      </c>
      <c r="H29" s="53">
        <f t="shared" si="12"/>
        <v>0</v>
      </c>
      <c r="I29" s="53">
        <f t="shared" si="12"/>
        <v>0</v>
      </c>
      <c r="J29" s="53">
        <f t="shared" si="12"/>
        <v>0</v>
      </c>
      <c r="K29" s="53">
        <f t="shared" si="12"/>
        <v>176806.91175991393</v>
      </c>
      <c r="L29" s="53">
        <f t="shared" si="12"/>
        <v>171657.19588341159</v>
      </c>
      <c r="M29" s="53">
        <f t="shared" si="12"/>
        <v>166657.47173146758</v>
      </c>
      <c r="N29" s="53">
        <f t="shared" si="12"/>
        <v>161803.3706130753</v>
      </c>
      <c r="O29" s="53">
        <f t="shared" si="12"/>
        <v>157090.65108065566</v>
      </c>
      <c r="P29" s="53">
        <f t="shared" si="12"/>
        <v>152515.19522393754</v>
      </c>
      <c r="Q29" s="53">
        <f t="shared" si="12"/>
        <v>148073.00507178402</v>
      </c>
      <c r="R29" s="53">
        <f t="shared" si="12"/>
        <v>143760.19909881943</v>
      </c>
      <c r="S29" s="53">
        <f t="shared" si="12"/>
        <v>139573.00883380524</v>
      </c>
      <c r="T29" s="53">
        <f t="shared" si="12"/>
        <v>135507.77556680125</v>
      </c>
      <c r="U29" s="53">
        <f t="shared" si="12"/>
        <v>131560.94715223421</v>
      </c>
      <c r="V29" s="53">
        <f t="shared" si="12"/>
        <v>127729.07490508175</v>
      </c>
      <c r="W29" s="53">
        <f t="shared" si="12"/>
        <v>124008.81058745802</v>
      </c>
      <c r="X29" s="53">
        <f t="shared" si="12"/>
        <v>120396.90348296896</v>
      </c>
      <c r="Y29" s="53">
        <f t="shared" si="12"/>
        <v>116890.19755628055</v>
      </c>
      <c r="Z29" s="53">
        <f t="shared" si="12"/>
        <v>113485.62869541801</v>
      </c>
      <c r="AA29" s="53">
        <f t="shared" si="12"/>
        <v>110180.22203438642</v>
      </c>
      <c r="AB29" s="53">
        <f t="shared" si="12"/>
        <v>106971.08935377323</v>
      </c>
      <c r="AC29" s="53">
        <f t="shared" si="12"/>
        <v>103855.42655706139</v>
      </c>
      <c r="AD29" s="53">
        <f t="shared" si="12"/>
        <v>100830.51122044794</v>
      </c>
    </row>
    <row r="32" spans="1:30" x14ac:dyDescent="0.25">
      <c r="A32" s="212" t="s">
        <v>393</v>
      </c>
      <c r="B32" s="270"/>
      <c r="C32" s="270"/>
      <c r="D32" s="271"/>
      <c r="E32" s="270"/>
    </row>
    <row r="33" spans="1:4" x14ac:dyDescent="0.25">
      <c r="A33" t="s">
        <v>298</v>
      </c>
      <c r="D33" s="197"/>
    </row>
    <row r="34" spans="1:4" x14ac:dyDescent="0.25">
      <c r="D34" s="197"/>
    </row>
    <row r="35" spans="1:4" x14ac:dyDescent="0.25">
      <c r="A35" t="s">
        <v>375</v>
      </c>
    </row>
  </sheetData>
  <pageMargins left="0.7" right="0.7" top="0.75" bottom="0.75" header="0.3" footer="0.3"/>
  <pageSetup paperSize="3" scale="60"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2193D-1E07-4BEF-B133-C86019B4B304}">
  <sheetPr>
    <pageSetUpPr fitToPage="1"/>
  </sheetPr>
  <dimension ref="A1:AB36"/>
  <sheetViews>
    <sheetView workbookViewId="0">
      <selection activeCell="I22" sqref="I22"/>
    </sheetView>
  </sheetViews>
  <sheetFormatPr defaultColWidth="55.85546875" defaultRowHeight="15" x14ac:dyDescent="0.25"/>
  <cols>
    <col min="1" max="1" width="57" style="179" customWidth="1"/>
    <col min="2" max="3" width="9.5703125" style="178" bestFit="1" customWidth="1"/>
    <col min="4" max="4" width="11.140625" style="178" customWidth="1"/>
    <col min="5" max="11" width="9.5703125" style="178" bestFit="1" customWidth="1"/>
    <col min="12" max="17" width="10.140625" style="178" bestFit="1" customWidth="1"/>
    <col min="18" max="18" width="10.28515625" style="178" bestFit="1" customWidth="1"/>
    <col min="19" max="19" width="10.85546875" style="178" bestFit="1" customWidth="1"/>
    <col min="20" max="22" width="11.28515625" style="178" bestFit="1" customWidth="1"/>
    <col min="23" max="24" width="11.85546875" style="178" bestFit="1" customWidth="1"/>
    <col min="25" max="28" width="12.28515625" style="178" bestFit="1" customWidth="1"/>
    <col min="29" max="16384" width="55.85546875" style="178"/>
  </cols>
  <sheetData>
    <row r="1" spans="1:28" customFormat="1" ht="23.25" x14ac:dyDescent="0.35">
      <c r="A1" s="102" t="s">
        <v>286</v>
      </c>
      <c r="B1" s="102"/>
      <c r="C1" s="55"/>
      <c r="D1" s="55"/>
      <c r="E1" s="55"/>
    </row>
    <row r="2" spans="1:28" customFormat="1" x14ac:dyDescent="0.25"/>
    <row r="3" spans="1:28" customFormat="1" x14ac:dyDescent="0.25">
      <c r="A3" s="2"/>
      <c r="B3" s="5">
        <v>2020</v>
      </c>
      <c r="C3" s="5">
        <f t="shared" ref="C3:AB3" si="0">B3+1</f>
        <v>2021</v>
      </c>
      <c r="D3" s="5">
        <f t="shared" si="0"/>
        <v>2022</v>
      </c>
      <c r="E3" s="5">
        <f t="shared" si="0"/>
        <v>2023</v>
      </c>
      <c r="F3" s="5">
        <f t="shared" si="0"/>
        <v>2024</v>
      </c>
      <c r="G3" s="5">
        <f t="shared" si="0"/>
        <v>2025</v>
      </c>
      <c r="H3" s="5">
        <f t="shared" si="0"/>
        <v>2026</v>
      </c>
      <c r="I3" s="5">
        <f t="shared" si="0"/>
        <v>2027</v>
      </c>
      <c r="J3" s="5">
        <f t="shared" si="0"/>
        <v>2028</v>
      </c>
      <c r="K3" s="5">
        <f t="shared" si="0"/>
        <v>2029</v>
      </c>
      <c r="L3" s="5">
        <f t="shared" si="0"/>
        <v>2030</v>
      </c>
      <c r="M3" s="5">
        <f t="shared" si="0"/>
        <v>2031</v>
      </c>
      <c r="N3" s="5">
        <f t="shared" si="0"/>
        <v>2032</v>
      </c>
      <c r="O3" s="5">
        <f t="shared" si="0"/>
        <v>2033</v>
      </c>
      <c r="P3" s="5">
        <f t="shared" si="0"/>
        <v>2034</v>
      </c>
      <c r="Q3" s="5">
        <f t="shared" si="0"/>
        <v>2035</v>
      </c>
      <c r="R3" s="5">
        <f t="shared" si="0"/>
        <v>2036</v>
      </c>
      <c r="S3" s="5">
        <f t="shared" si="0"/>
        <v>2037</v>
      </c>
      <c r="T3" s="5">
        <f t="shared" si="0"/>
        <v>2038</v>
      </c>
      <c r="U3" s="5">
        <f t="shared" si="0"/>
        <v>2039</v>
      </c>
      <c r="V3" s="5">
        <f t="shared" si="0"/>
        <v>2040</v>
      </c>
      <c r="W3" s="5">
        <f t="shared" si="0"/>
        <v>2041</v>
      </c>
      <c r="X3" s="5">
        <f t="shared" si="0"/>
        <v>2042</v>
      </c>
      <c r="Y3" s="5">
        <f t="shared" si="0"/>
        <v>2043</v>
      </c>
      <c r="Z3" s="5">
        <f t="shared" si="0"/>
        <v>2044</v>
      </c>
      <c r="AA3" s="5">
        <f t="shared" si="0"/>
        <v>2045</v>
      </c>
      <c r="AB3" s="5">
        <f t="shared" si="0"/>
        <v>2046</v>
      </c>
    </row>
    <row r="4" spans="1:28" customFormat="1" x14ac:dyDescent="0.25">
      <c r="A4" s="57" t="s">
        <v>31</v>
      </c>
      <c r="B4" s="1">
        <v>0</v>
      </c>
      <c r="C4" s="1">
        <v>0</v>
      </c>
      <c r="D4" s="1">
        <v>0</v>
      </c>
      <c r="E4" s="1">
        <v>0</v>
      </c>
      <c r="F4" s="1">
        <v>0</v>
      </c>
      <c r="G4" s="1">
        <v>0</v>
      </c>
      <c r="H4" s="1">
        <v>0</v>
      </c>
      <c r="I4" s="1">
        <v>1</v>
      </c>
      <c r="J4" s="1">
        <v>2</v>
      </c>
      <c r="K4" s="1">
        <v>3</v>
      </c>
      <c r="L4" s="1">
        <v>4</v>
      </c>
      <c r="M4" s="1">
        <v>5</v>
      </c>
      <c r="N4" s="1">
        <v>6</v>
      </c>
      <c r="O4" s="1">
        <v>7</v>
      </c>
      <c r="P4" s="1">
        <v>8</v>
      </c>
      <c r="Q4" s="1">
        <v>9</v>
      </c>
      <c r="R4" s="1">
        <v>10</v>
      </c>
      <c r="S4" s="1">
        <v>11</v>
      </c>
      <c r="T4" s="1">
        <v>12</v>
      </c>
      <c r="U4" s="1">
        <v>13</v>
      </c>
      <c r="V4" s="1">
        <v>14</v>
      </c>
      <c r="W4" s="1">
        <v>15</v>
      </c>
      <c r="X4" s="1">
        <v>16</v>
      </c>
      <c r="Y4" s="1">
        <v>17</v>
      </c>
      <c r="Z4" s="1">
        <v>18</v>
      </c>
      <c r="AA4" s="1">
        <v>19</v>
      </c>
      <c r="AB4" s="1">
        <v>20</v>
      </c>
    </row>
    <row r="5" spans="1:28" customFormat="1" x14ac:dyDescent="0.25">
      <c r="A5" s="15" t="s">
        <v>66</v>
      </c>
      <c r="B5" s="51">
        <v>1</v>
      </c>
      <c r="C5" s="51">
        <v>0.93457943925233644</v>
      </c>
      <c r="D5" s="51">
        <v>0.87343872827321156</v>
      </c>
      <c r="E5" s="51">
        <v>0.81629787689085187</v>
      </c>
      <c r="F5" s="51">
        <v>0.7628952120475252</v>
      </c>
      <c r="G5" s="51">
        <v>0.71298617948366838</v>
      </c>
      <c r="H5" s="51">
        <v>0.66634222381651254</v>
      </c>
      <c r="I5" s="51">
        <v>0.62274974188459109</v>
      </c>
      <c r="J5" s="51">
        <v>0.5820091045650384</v>
      </c>
      <c r="K5" s="51">
        <v>0.54393374258414806</v>
      </c>
      <c r="L5" s="51">
        <v>0.5083492921347178</v>
      </c>
      <c r="M5" s="51">
        <v>0.47509279638758667</v>
      </c>
      <c r="N5" s="51">
        <v>0.44401195924073528</v>
      </c>
      <c r="O5" s="51">
        <v>0.41496444788853759</v>
      </c>
      <c r="P5" s="51">
        <v>0.3878172410173249</v>
      </c>
      <c r="Q5" s="51">
        <v>0.36244601964235967</v>
      </c>
      <c r="R5" s="51">
        <v>0.33873459779659787</v>
      </c>
      <c r="S5" s="51">
        <v>0.31657439046411018</v>
      </c>
      <c r="T5" s="51">
        <v>0.29586391632159825</v>
      </c>
      <c r="U5" s="51">
        <v>0.27650833301083949</v>
      </c>
      <c r="V5" s="51">
        <v>0.2584190028138687</v>
      </c>
      <c r="W5" s="51">
        <v>0.24151308674193336</v>
      </c>
      <c r="X5" s="51">
        <v>0.22571316517937698</v>
      </c>
      <c r="Y5" s="51">
        <v>0.21094688334521211</v>
      </c>
      <c r="Z5" s="51">
        <v>0.19714661994879637</v>
      </c>
      <c r="AA5" s="51">
        <v>0.18424917752223957</v>
      </c>
      <c r="AB5" s="51">
        <v>0.17219549301143888</v>
      </c>
    </row>
    <row r="6" spans="1:28" customFormat="1" x14ac:dyDescent="0.25">
      <c r="A6" s="15" t="s">
        <v>67</v>
      </c>
      <c r="B6" s="51">
        <v>1</v>
      </c>
      <c r="C6" s="51">
        <v>0.970873786407767</v>
      </c>
      <c r="D6" s="51">
        <v>0.94259590913375435</v>
      </c>
      <c r="E6" s="51">
        <v>0.91514165935315961</v>
      </c>
      <c r="F6" s="51">
        <v>0.888487047915689</v>
      </c>
      <c r="G6" s="51">
        <v>0.86260878438416411</v>
      </c>
      <c r="H6" s="51">
        <v>0.83748425668365445</v>
      </c>
      <c r="I6" s="51">
        <v>0.81309151134335378</v>
      </c>
      <c r="J6" s="51">
        <v>0.78940923431393573</v>
      </c>
      <c r="K6" s="51">
        <v>0.76641673234362695</v>
      </c>
      <c r="L6" s="51">
        <v>0.74409391489672516</v>
      </c>
      <c r="M6" s="51">
        <v>0.72242127659876232</v>
      </c>
      <c r="N6" s="51">
        <v>0.70137988019297326</v>
      </c>
      <c r="O6" s="51">
        <v>0.68095133999317792</v>
      </c>
      <c r="P6" s="51">
        <v>0.66111780581861923</v>
      </c>
      <c r="Q6" s="51">
        <v>0.64186194739671765</v>
      </c>
      <c r="R6" s="51">
        <v>0.62316693922011435</v>
      </c>
      <c r="S6" s="51">
        <v>0.60501644584477121</v>
      </c>
      <c r="T6" s="51">
        <v>0.5873946076162827</v>
      </c>
      <c r="U6" s="51">
        <v>0.57028602681192497</v>
      </c>
      <c r="V6" s="51">
        <v>0.55367575418633497</v>
      </c>
      <c r="W6" s="51">
        <v>0.5375492759090631</v>
      </c>
      <c r="X6" s="51">
        <v>0.52189250088258554</v>
      </c>
      <c r="Y6" s="51">
        <v>0.50669174842969467</v>
      </c>
      <c r="Z6" s="51">
        <v>0.49193373633950943</v>
      </c>
      <c r="AA6" s="51">
        <v>0.47760556926165965</v>
      </c>
      <c r="AB6" s="51">
        <v>0.46369472743850448</v>
      </c>
    </row>
    <row r="7" spans="1:28" customFormat="1" x14ac:dyDescent="0.25">
      <c r="A7" s="15"/>
      <c r="B7" s="51"/>
      <c r="C7" s="51"/>
      <c r="D7" s="51"/>
      <c r="E7" s="51"/>
      <c r="F7" s="51"/>
      <c r="G7" s="51"/>
      <c r="H7" s="51"/>
      <c r="I7" s="51"/>
      <c r="J7" s="51"/>
      <c r="K7" s="51"/>
      <c r="L7" s="51"/>
      <c r="M7" s="51"/>
      <c r="N7" s="51"/>
      <c r="O7" s="51"/>
      <c r="P7" s="51"/>
      <c r="Q7" s="51"/>
      <c r="R7" s="51"/>
      <c r="S7" s="51"/>
      <c r="T7" s="51"/>
      <c r="U7" s="51"/>
      <c r="V7" s="51"/>
      <c r="W7" s="51"/>
      <c r="X7" s="51"/>
      <c r="Y7" s="51"/>
      <c r="Z7" s="51"/>
      <c r="AA7" s="51"/>
      <c r="AB7" s="51"/>
    </row>
    <row r="8" spans="1:28" s="186" customFormat="1" x14ac:dyDescent="0.25">
      <c r="A8" s="185"/>
      <c r="I8" s="186">
        <f>F8+1</f>
        <v>1</v>
      </c>
      <c r="J8" s="186">
        <f t="shared" ref="J8:AB8" si="1">I8+1</f>
        <v>2</v>
      </c>
      <c r="K8" s="186">
        <f t="shared" si="1"/>
        <v>3</v>
      </c>
      <c r="L8" s="186">
        <f t="shared" si="1"/>
        <v>4</v>
      </c>
      <c r="M8" s="186">
        <f t="shared" si="1"/>
        <v>5</v>
      </c>
      <c r="N8" s="186">
        <f t="shared" si="1"/>
        <v>6</v>
      </c>
      <c r="O8" s="186">
        <f t="shared" si="1"/>
        <v>7</v>
      </c>
      <c r="P8" s="186">
        <f t="shared" si="1"/>
        <v>8</v>
      </c>
      <c r="Q8" s="186">
        <f t="shared" si="1"/>
        <v>9</v>
      </c>
      <c r="R8" s="186">
        <f t="shared" si="1"/>
        <v>10</v>
      </c>
      <c r="S8" s="186">
        <f t="shared" si="1"/>
        <v>11</v>
      </c>
      <c r="T8" s="186">
        <f t="shared" si="1"/>
        <v>12</v>
      </c>
      <c r="U8" s="186">
        <f t="shared" si="1"/>
        <v>13</v>
      </c>
      <c r="V8" s="186">
        <f t="shared" si="1"/>
        <v>14</v>
      </c>
      <c r="W8" s="186">
        <f t="shared" si="1"/>
        <v>15</v>
      </c>
      <c r="X8" s="186">
        <f t="shared" si="1"/>
        <v>16</v>
      </c>
      <c r="Y8" s="186">
        <f t="shared" si="1"/>
        <v>17</v>
      </c>
      <c r="Z8" s="186">
        <f t="shared" si="1"/>
        <v>18</v>
      </c>
      <c r="AA8" s="186">
        <f t="shared" si="1"/>
        <v>19</v>
      </c>
      <c r="AB8" s="186">
        <f t="shared" si="1"/>
        <v>20</v>
      </c>
    </row>
    <row r="9" spans="1:28" x14ac:dyDescent="0.25">
      <c r="A9" s="12" t="s">
        <v>289</v>
      </c>
      <c r="B9" s="12">
        <v>2020</v>
      </c>
      <c r="C9" s="12">
        <f>B9+1</f>
        <v>2021</v>
      </c>
      <c r="D9" s="12">
        <f>C9+1</f>
        <v>2022</v>
      </c>
      <c r="E9" s="12">
        <f>D9+1</f>
        <v>2023</v>
      </c>
      <c r="F9" s="12">
        <f>E9+1</f>
        <v>2024</v>
      </c>
      <c r="G9" s="12">
        <f t="shared" ref="G9:AB9" si="2">F9+1</f>
        <v>2025</v>
      </c>
      <c r="H9" s="12">
        <f t="shared" si="2"/>
        <v>2026</v>
      </c>
      <c r="I9" s="12">
        <f t="shared" si="2"/>
        <v>2027</v>
      </c>
      <c r="J9" s="12">
        <f t="shared" si="2"/>
        <v>2028</v>
      </c>
      <c r="K9" s="12">
        <f t="shared" si="2"/>
        <v>2029</v>
      </c>
      <c r="L9" s="12">
        <f t="shared" si="2"/>
        <v>2030</v>
      </c>
      <c r="M9" s="12">
        <f t="shared" si="2"/>
        <v>2031</v>
      </c>
      <c r="N9" s="12">
        <f t="shared" si="2"/>
        <v>2032</v>
      </c>
      <c r="O9" s="12">
        <f t="shared" si="2"/>
        <v>2033</v>
      </c>
      <c r="P9" s="12">
        <f t="shared" si="2"/>
        <v>2034</v>
      </c>
      <c r="Q9" s="12">
        <f t="shared" si="2"/>
        <v>2035</v>
      </c>
      <c r="R9" s="12">
        <f t="shared" si="2"/>
        <v>2036</v>
      </c>
      <c r="S9" s="12">
        <f t="shared" si="2"/>
        <v>2037</v>
      </c>
      <c r="T9" s="12">
        <f t="shared" si="2"/>
        <v>2038</v>
      </c>
      <c r="U9" s="12">
        <f t="shared" si="2"/>
        <v>2039</v>
      </c>
      <c r="V9" s="12">
        <f t="shared" si="2"/>
        <v>2040</v>
      </c>
      <c r="W9" s="12">
        <f t="shared" si="2"/>
        <v>2041</v>
      </c>
      <c r="X9" s="12">
        <f t="shared" si="2"/>
        <v>2042</v>
      </c>
      <c r="Y9" s="12">
        <f t="shared" si="2"/>
        <v>2043</v>
      </c>
      <c r="Z9" s="12">
        <f t="shared" si="2"/>
        <v>2044</v>
      </c>
      <c r="AA9" s="12">
        <f t="shared" si="2"/>
        <v>2045</v>
      </c>
      <c r="AB9" s="12">
        <f t="shared" si="2"/>
        <v>2046</v>
      </c>
    </row>
    <row r="10" spans="1:28" ht="30" x14ac:dyDescent="0.25">
      <c r="A10" s="180" t="s">
        <v>385</v>
      </c>
      <c r="B10" s="181">
        <v>120</v>
      </c>
      <c r="C10" s="193">
        <f>B10*1.055</f>
        <v>126.6</v>
      </c>
      <c r="D10" s="193">
        <f>C10*1.055</f>
        <v>133.56299999999999</v>
      </c>
      <c r="E10" s="193">
        <f>D10*1.055</f>
        <v>140.90896499999997</v>
      </c>
      <c r="F10" s="193">
        <f t="shared" ref="F10:AB10" si="3">E10*1.055</f>
        <v>148.65895807499996</v>
      </c>
      <c r="G10" s="193">
        <f t="shared" si="3"/>
        <v>156.83520076912495</v>
      </c>
      <c r="H10" s="193">
        <f t="shared" si="3"/>
        <v>165.46113681142683</v>
      </c>
      <c r="I10" s="193">
        <f t="shared" si="3"/>
        <v>174.56149933605528</v>
      </c>
      <c r="J10" s="193">
        <f t="shared" si="3"/>
        <v>184.16238179953831</v>
      </c>
      <c r="K10" s="193">
        <f t="shared" si="3"/>
        <v>194.29131279851291</v>
      </c>
      <c r="L10" s="193">
        <f t="shared" si="3"/>
        <v>204.97733500243109</v>
      </c>
      <c r="M10" s="193">
        <f t="shared" si="3"/>
        <v>216.25108842756478</v>
      </c>
      <c r="N10" s="193">
        <f t="shared" si="3"/>
        <v>228.14489829108084</v>
      </c>
      <c r="O10" s="193">
        <f t="shared" si="3"/>
        <v>240.69286769709026</v>
      </c>
      <c r="P10" s="193">
        <f t="shared" si="3"/>
        <v>253.9309754204302</v>
      </c>
      <c r="Q10" s="193">
        <f t="shared" si="3"/>
        <v>267.89717906855384</v>
      </c>
      <c r="R10" s="193">
        <f t="shared" si="3"/>
        <v>282.63152391732427</v>
      </c>
      <c r="S10" s="193">
        <f t="shared" si="3"/>
        <v>298.17625773277712</v>
      </c>
      <c r="T10" s="193">
        <f t="shared" si="3"/>
        <v>314.57595190807984</v>
      </c>
      <c r="U10" s="193">
        <f t="shared" si="3"/>
        <v>331.87762926302423</v>
      </c>
      <c r="V10" s="193">
        <f t="shared" si="3"/>
        <v>350.13089887249055</v>
      </c>
      <c r="W10" s="193">
        <f t="shared" si="3"/>
        <v>369.38809831047752</v>
      </c>
      <c r="X10" s="193">
        <f t="shared" si="3"/>
        <v>389.70444371755377</v>
      </c>
      <c r="Y10" s="193">
        <f t="shared" si="3"/>
        <v>411.13818812201919</v>
      </c>
      <c r="Z10" s="193">
        <f t="shared" si="3"/>
        <v>433.75078846873021</v>
      </c>
      <c r="AA10" s="193">
        <f t="shared" si="3"/>
        <v>457.60708183451032</v>
      </c>
      <c r="AB10" s="193">
        <f t="shared" si="3"/>
        <v>482.77547133540838</v>
      </c>
    </row>
    <row r="11" spans="1:28" x14ac:dyDescent="0.25">
      <c r="A11" s="180" t="s">
        <v>275</v>
      </c>
      <c r="B11" s="183">
        <f t="shared" ref="B11:AB11" si="4">B10*0.5</f>
        <v>60</v>
      </c>
      <c r="C11" s="183">
        <f t="shared" si="4"/>
        <v>63.3</v>
      </c>
      <c r="D11" s="183">
        <f t="shared" si="4"/>
        <v>66.781499999999994</v>
      </c>
      <c r="E11" s="183">
        <f t="shared" si="4"/>
        <v>70.454482499999983</v>
      </c>
      <c r="F11" s="183">
        <f t="shared" si="4"/>
        <v>74.329479037499979</v>
      </c>
      <c r="G11" s="183">
        <f t="shared" si="4"/>
        <v>78.417600384562476</v>
      </c>
      <c r="H11" s="183">
        <f t="shared" si="4"/>
        <v>82.730568405713413</v>
      </c>
      <c r="I11" s="183">
        <f t="shared" si="4"/>
        <v>87.280749668027639</v>
      </c>
      <c r="J11" s="183">
        <f t="shared" si="4"/>
        <v>92.081190899769155</v>
      </c>
      <c r="K11" s="183">
        <f t="shared" si="4"/>
        <v>97.145656399256453</v>
      </c>
      <c r="L11" s="183">
        <f t="shared" si="4"/>
        <v>102.48866750121555</v>
      </c>
      <c r="M11" s="183">
        <f t="shared" si="4"/>
        <v>108.12554421378239</v>
      </c>
      <c r="N11" s="183">
        <f t="shared" si="4"/>
        <v>114.07244914554042</v>
      </c>
      <c r="O11" s="183">
        <f t="shared" si="4"/>
        <v>120.34643384854513</v>
      </c>
      <c r="P11" s="183">
        <f t="shared" si="4"/>
        <v>126.9654877102151</v>
      </c>
      <c r="Q11" s="183">
        <f t="shared" si="4"/>
        <v>133.94858953427692</v>
      </c>
      <c r="R11" s="183">
        <f t="shared" si="4"/>
        <v>141.31576195866214</v>
      </c>
      <c r="S11" s="183">
        <f t="shared" si="4"/>
        <v>149.08812886638856</v>
      </c>
      <c r="T11" s="183">
        <f t="shared" si="4"/>
        <v>157.28797595403992</v>
      </c>
      <c r="U11" s="183">
        <f t="shared" si="4"/>
        <v>165.93881463151212</v>
      </c>
      <c r="V11" s="183">
        <f t="shared" si="4"/>
        <v>175.06544943624527</v>
      </c>
      <c r="W11" s="183">
        <f t="shared" si="4"/>
        <v>184.69404915523876</v>
      </c>
      <c r="X11" s="183">
        <f t="shared" si="4"/>
        <v>194.85222185877689</v>
      </c>
      <c r="Y11" s="183">
        <f t="shared" si="4"/>
        <v>205.56909406100959</v>
      </c>
      <c r="Z11" s="183">
        <f t="shared" si="4"/>
        <v>216.8753942343651</v>
      </c>
      <c r="AA11" s="183">
        <f t="shared" si="4"/>
        <v>228.80354091725516</v>
      </c>
      <c r="AB11" s="183">
        <f t="shared" si="4"/>
        <v>241.38773566770419</v>
      </c>
    </row>
    <row r="12" spans="1:28" x14ac:dyDescent="0.25">
      <c r="A12" s="180" t="s">
        <v>276</v>
      </c>
      <c r="B12" s="184">
        <v>10</v>
      </c>
      <c r="C12" s="184">
        <v>10</v>
      </c>
      <c r="D12" s="184">
        <v>10</v>
      </c>
      <c r="E12" s="184">
        <v>10</v>
      </c>
      <c r="F12" s="184">
        <v>10</v>
      </c>
      <c r="G12" s="184">
        <v>10</v>
      </c>
      <c r="H12" s="184">
        <v>10</v>
      </c>
      <c r="I12" s="184">
        <v>10</v>
      </c>
      <c r="J12" s="184">
        <v>10</v>
      </c>
      <c r="K12" s="184">
        <v>10</v>
      </c>
      <c r="L12" s="184">
        <v>10</v>
      </c>
      <c r="M12" s="184">
        <v>10</v>
      </c>
      <c r="N12" s="184">
        <v>10</v>
      </c>
      <c r="O12" s="184">
        <v>10</v>
      </c>
      <c r="P12" s="184">
        <v>10</v>
      </c>
      <c r="Q12" s="184">
        <v>10</v>
      </c>
      <c r="R12" s="184">
        <v>10</v>
      </c>
      <c r="S12" s="184">
        <v>10</v>
      </c>
      <c r="T12" s="184">
        <v>10</v>
      </c>
      <c r="U12" s="184">
        <v>10</v>
      </c>
      <c r="V12" s="184">
        <v>10</v>
      </c>
      <c r="W12" s="184">
        <v>10</v>
      </c>
      <c r="X12" s="184">
        <v>10</v>
      </c>
      <c r="Y12" s="184">
        <v>10</v>
      </c>
      <c r="Z12" s="184">
        <v>10</v>
      </c>
      <c r="AA12" s="184">
        <v>10</v>
      </c>
      <c r="AB12" s="184">
        <v>10</v>
      </c>
    </row>
    <row r="13" spans="1:28" ht="30" x14ac:dyDescent="0.25">
      <c r="A13" s="180" t="s">
        <v>277</v>
      </c>
      <c r="B13" s="182">
        <v>292</v>
      </c>
      <c r="C13" s="182">
        <v>292</v>
      </c>
      <c r="D13" s="182">
        <v>292</v>
      </c>
      <c r="E13" s="182">
        <v>292</v>
      </c>
      <c r="F13" s="182">
        <v>292</v>
      </c>
      <c r="G13" s="182">
        <v>292</v>
      </c>
      <c r="H13" s="182">
        <v>292</v>
      </c>
      <c r="I13" s="182">
        <v>292</v>
      </c>
      <c r="J13" s="182">
        <v>292</v>
      </c>
      <c r="K13" s="182">
        <v>292</v>
      </c>
      <c r="L13" s="182">
        <v>292</v>
      </c>
      <c r="M13" s="182">
        <v>292</v>
      </c>
      <c r="N13" s="182">
        <v>292</v>
      </c>
      <c r="O13" s="182">
        <v>292</v>
      </c>
      <c r="P13" s="182">
        <v>292</v>
      </c>
      <c r="Q13" s="182">
        <v>292</v>
      </c>
      <c r="R13" s="182">
        <v>292</v>
      </c>
      <c r="S13" s="182">
        <v>292</v>
      </c>
      <c r="T13" s="182">
        <v>292</v>
      </c>
      <c r="U13" s="182">
        <v>292</v>
      </c>
      <c r="V13" s="182">
        <v>292</v>
      </c>
      <c r="W13" s="182">
        <v>292</v>
      </c>
      <c r="X13" s="182">
        <v>292</v>
      </c>
      <c r="Y13" s="182">
        <v>292</v>
      </c>
      <c r="Z13" s="182">
        <v>292</v>
      </c>
      <c r="AA13" s="182">
        <v>292</v>
      </c>
      <c r="AB13" s="182">
        <v>292</v>
      </c>
    </row>
    <row r="14" spans="1:28" x14ac:dyDescent="0.25">
      <c r="A14" s="180" t="s">
        <v>278</v>
      </c>
      <c r="B14" s="184">
        <f t="shared" ref="B14:AB14" si="5">B11*B12*B13</f>
        <v>175200</v>
      </c>
      <c r="C14" s="184">
        <f t="shared" si="5"/>
        <v>184836</v>
      </c>
      <c r="D14" s="184">
        <f t="shared" si="5"/>
        <v>195001.97999999998</v>
      </c>
      <c r="E14" s="184">
        <f t="shared" si="5"/>
        <v>205727.08889999994</v>
      </c>
      <c r="F14" s="184">
        <f t="shared" si="5"/>
        <v>217042.07878949994</v>
      </c>
      <c r="G14" s="184">
        <f t="shared" si="5"/>
        <v>228979.39312292243</v>
      </c>
      <c r="H14" s="184">
        <f t="shared" si="5"/>
        <v>241573.25974468316</v>
      </c>
      <c r="I14" s="184">
        <f t="shared" si="5"/>
        <v>254859.78903064071</v>
      </c>
      <c r="J14" s="184">
        <f t="shared" si="5"/>
        <v>268877.07742732589</v>
      </c>
      <c r="K14" s="184">
        <f t="shared" si="5"/>
        <v>283665.31668582885</v>
      </c>
      <c r="L14" s="184">
        <f t="shared" si="5"/>
        <v>299266.90910354938</v>
      </c>
      <c r="M14" s="184">
        <f t="shared" si="5"/>
        <v>315726.58910424454</v>
      </c>
      <c r="N14" s="184">
        <f t="shared" si="5"/>
        <v>333091.55150497804</v>
      </c>
      <c r="O14" s="184">
        <f t="shared" si="5"/>
        <v>351411.58683775173</v>
      </c>
      <c r="P14" s="184">
        <f t="shared" si="5"/>
        <v>370739.2241138281</v>
      </c>
      <c r="Q14" s="184">
        <f t="shared" si="5"/>
        <v>391129.88144008862</v>
      </c>
      <c r="R14" s="184">
        <f t="shared" si="5"/>
        <v>412642.02491929347</v>
      </c>
      <c r="S14" s="184">
        <f t="shared" si="5"/>
        <v>435337.3362898546</v>
      </c>
      <c r="T14" s="184">
        <f t="shared" si="5"/>
        <v>459280.88978579658</v>
      </c>
      <c r="U14" s="184">
        <f t="shared" si="5"/>
        <v>484541.33872401534</v>
      </c>
      <c r="V14" s="184">
        <f t="shared" si="5"/>
        <v>511191.11235383619</v>
      </c>
      <c r="W14" s="184">
        <f t="shared" si="5"/>
        <v>539306.62353329721</v>
      </c>
      <c r="X14" s="184">
        <f t="shared" si="5"/>
        <v>568968.4878276285</v>
      </c>
      <c r="Y14" s="184">
        <f t="shared" si="5"/>
        <v>600261.75465814793</v>
      </c>
      <c r="Z14" s="184">
        <f t="shared" si="5"/>
        <v>633276.15116434614</v>
      </c>
      <c r="AA14" s="184">
        <f t="shared" si="5"/>
        <v>668106.33947838505</v>
      </c>
      <c r="AB14" s="184">
        <f t="shared" si="5"/>
        <v>704852.18814969622</v>
      </c>
    </row>
    <row r="15" spans="1:28" x14ac:dyDescent="0.25">
      <c r="A15" s="15" t="s">
        <v>66</v>
      </c>
      <c r="B15" s="190">
        <f t="shared" ref="B15:H15" si="6">B14*0.93</f>
        <v>162936</v>
      </c>
      <c r="C15" s="190">
        <f t="shared" si="6"/>
        <v>171897.48</v>
      </c>
      <c r="D15" s="190">
        <f t="shared" si="6"/>
        <v>181351.8414</v>
      </c>
      <c r="E15" s="190">
        <f t="shared" si="6"/>
        <v>191326.19267699996</v>
      </c>
      <c r="F15" s="190">
        <f t="shared" si="6"/>
        <v>201849.13327423495</v>
      </c>
      <c r="G15" s="190">
        <f t="shared" si="6"/>
        <v>212950.83560431786</v>
      </c>
      <c r="H15" s="190">
        <f t="shared" si="6"/>
        <v>224663.13156255535</v>
      </c>
      <c r="I15" s="190">
        <f>I14*0.93</f>
        <v>237019.60379849587</v>
      </c>
      <c r="J15" s="190">
        <f t="shared" ref="J15:AB15" si="7">J14*0.93</f>
        <v>250055.6820074131</v>
      </c>
      <c r="K15" s="190">
        <f t="shared" si="7"/>
        <v>263808.74451782083</v>
      </c>
      <c r="L15" s="190">
        <f t="shared" si="7"/>
        <v>278318.22546630091</v>
      </c>
      <c r="M15" s="190">
        <f t="shared" si="7"/>
        <v>293625.72786694742</v>
      </c>
      <c r="N15" s="190">
        <f t="shared" si="7"/>
        <v>309775.1428996296</v>
      </c>
      <c r="O15" s="190">
        <f t="shared" si="7"/>
        <v>326812.77575910912</v>
      </c>
      <c r="P15" s="190">
        <f t="shared" si="7"/>
        <v>344787.47842586017</v>
      </c>
      <c r="Q15" s="190">
        <f t="shared" si="7"/>
        <v>363750.78973928245</v>
      </c>
      <c r="R15" s="190">
        <f t="shared" si="7"/>
        <v>383757.08317494293</v>
      </c>
      <c r="S15" s="190">
        <f t="shared" si="7"/>
        <v>404863.7227495648</v>
      </c>
      <c r="T15" s="190">
        <f t="shared" si="7"/>
        <v>427131.22750079085</v>
      </c>
      <c r="U15" s="190">
        <f t="shared" si="7"/>
        <v>450623.44501333428</v>
      </c>
      <c r="V15" s="190">
        <f t="shared" si="7"/>
        <v>475407.73448906769</v>
      </c>
      <c r="W15" s="190">
        <f t="shared" si="7"/>
        <v>501555.15988596645</v>
      </c>
      <c r="X15" s="190">
        <f t="shared" si="7"/>
        <v>529140.69367969455</v>
      </c>
      <c r="Y15" s="190">
        <f t="shared" si="7"/>
        <v>558243.43183207756</v>
      </c>
      <c r="Z15" s="190">
        <f t="shared" si="7"/>
        <v>588946.82058284199</v>
      </c>
      <c r="AA15" s="190">
        <f t="shared" si="7"/>
        <v>621338.89571489813</v>
      </c>
      <c r="AB15" s="190">
        <f t="shared" si="7"/>
        <v>655512.53497921757</v>
      </c>
    </row>
    <row r="16" spans="1:28" x14ac:dyDescent="0.25">
      <c r="A16" s="15" t="s">
        <v>67</v>
      </c>
      <c r="B16" s="190">
        <f t="shared" ref="B16:H16" si="8">B14*0.97</f>
        <v>169944</v>
      </c>
      <c r="C16" s="190">
        <f t="shared" si="8"/>
        <v>179290.91999999998</v>
      </c>
      <c r="D16" s="190">
        <f t="shared" si="8"/>
        <v>189151.92059999998</v>
      </c>
      <c r="E16" s="190">
        <f t="shared" si="8"/>
        <v>199555.27623299995</v>
      </c>
      <c r="F16" s="190">
        <f t="shared" si="8"/>
        <v>210530.81642581493</v>
      </c>
      <c r="G16" s="190">
        <f t="shared" si="8"/>
        <v>222110.01132923475</v>
      </c>
      <c r="H16" s="190">
        <f t="shared" si="8"/>
        <v>234326.06195234266</v>
      </c>
      <c r="I16" s="190">
        <f>I14*0.97</f>
        <v>247213.99535972148</v>
      </c>
      <c r="J16" s="190">
        <f t="shared" ref="J16:AB16" si="9">J14*0.97</f>
        <v>260810.76510450611</v>
      </c>
      <c r="K16" s="190">
        <f t="shared" si="9"/>
        <v>275155.35718525399</v>
      </c>
      <c r="L16" s="190">
        <f t="shared" si="9"/>
        <v>290288.90183044289</v>
      </c>
      <c r="M16" s="190">
        <f t="shared" si="9"/>
        <v>306254.79143111722</v>
      </c>
      <c r="N16" s="190">
        <f t="shared" si="9"/>
        <v>323098.80495982867</v>
      </c>
      <c r="O16" s="190">
        <f t="shared" si="9"/>
        <v>340869.23923261918</v>
      </c>
      <c r="P16" s="190">
        <f t="shared" si="9"/>
        <v>359617.04739041324</v>
      </c>
      <c r="Q16" s="190">
        <f t="shared" si="9"/>
        <v>379395.98499688593</v>
      </c>
      <c r="R16" s="190">
        <f t="shared" si="9"/>
        <v>400262.76417171466</v>
      </c>
      <c r="S16" s="190">
        <f t="shared" si="9"/>
        <v>422277.21620115894</v>
      </c>
      <c r="T16" s="190">
        <f t="shared" si="9"/>
        <v>445502.46309222269</v>
      </c>
      <c r="U16" s="190">
        <f t="shared" si="9"/>
        <v>470005.09856229485</v>
      </c>
      <c r="V16" s="190">
        <f t="shared" si="9"/>
        <v>495855.37898322108</v>
      </c>
      <c r="W16" s="190">
        <f t="shared" si="9"/>
        <v>523127.42482729827</v>
      </c>
      <c r="X16" s="190">
        <f t="shared" si="9"/>
        <v>551899.43319279968</v>
      </c>
      <c r="Y16" s="190">
        <f t="shared" si="9"/>
        <v>582253.90201840352</v>
      </c>
      <c r="Z16" s="190">
        <f t="shared" si="9"/>
        <v>614277.86662941577</v>
      </c>
      <c r="AA16" s="190">
        <f t="shared" si="9"/>
        <v>648063.14929403353</v>
      </c>
      <c r="AB16" s="190">
        <f t="shared" si="9"/>
        <v>683706.62250520533</v>
      </c>
    </row>
    <row r="18" spans="1:28" x14ac:dyDescent="0.25">
      <c r="A18" s="187" t="s">
        <v>392</v>
      </c>
      <c r="K18" s="279"/>
    </row>
    <row r="19" spans="1:28" x14ac:dyDescent="0.25">
      <c r="A19" s="187"/>
    </row>
    <row r="20" spans="1:28" s="186" customFormat="1" x14ac:dyDescent="0.25">
      <c r="A20" s="185"/>
      <c r="I20" s="186">
        <f>F20+1</f>
        <v>1</v>
      </c>
      <c r="J20" s="186">
        <f t="shared" ref="J20:AB20" si="10">I20+1</f>
        <v>2</v>
      </c>
      <c r="K20" s="186">
        <f t="shared" si="10"/>
        <v>3</v>
      </c>
      <c r="L20" s="186">
        <f t="shared" si="10"/>
        <v>4</v>
      </c>
      <c r="M20" s="186">
        <f t="shared" si="10"/>
        <v>5</v>
      </c>
      <c r="N20" s="186">
        <f t="shared" si="10"/>
        <v>6</v>
      </c>
      <c r="O20" s="186">
        <f t="shared" si="10"/>
        <v>7</v>
      </c>
      <c r="P20" s="186">
        <f t="shared" si="10"/>
        <v>8</v>
      </c>
      <c r="Q20" s="186">
        <f t="shared" si="10"/>
        <v>9</v>
      </c>
      <c r="R20" s="186">
        <f t="shared" si="10"/>
        <v>10</v>
      </c>
      <c r="S20" s="186">
        <f t="shared" si="10"/>
        <v>11</v>
      </c>
      <c r="T20" s="186">
        <f t="shared" si="10"/>
        <v>12</v>
      </c>
      <c r="U20" s="186">
        <f t="shared" si="10"/>
        <v>13</v>
      </c>
      <c r="V20" s="186">
        <f t="shared" si="10"/>
        <v>14</v>
      </c>
      <c r="W20" s="186">
        <f t="shared" si="10"/>
        <v>15</v>
      </c>
      <c r="X20" s="186">
        <f t="shared" si="10"/>
        <v>16</v>
      </c>
      <c r="Y20" s="186">
        <f t="shared" si="10"/>
        <v>17</v>
      </c>
      <c r="Z20" s="186">
        <f t="shared" si="10"/>
        <v>18</v>
      </c>
      <c r="AA20" s="186">
        <f t="shared" si="10"/>
        <v>19</v>
      </c>
      <c r="AB20" s="186">
        <f t="shared" si="10"/>
        <v>20</v>
      </c>
    </row>
    <row r="21" spans="1:28" x14ac:dyDescent="0.25">
      <c r="A21" s="12" t="s">
        <v>290</v>
      </c>
      <c r="B21" s="12">
        <v>2020</v>
      </c>
      <c r="C21" s="12">
        <f>B21+1</f>
        <v>2021</v>
      </c>
      <c r="D21" s="12">
        <f>C21+1</f>
        <v>2022</v>
      </c>
      <c r="E21" s="12">
        <f>D21+1</f>
        <v>2023</v>
      </c>
      <c r="F21" s="12">
        <f>E21+1</f>
        <v>2024</v>
      </c>
      <c r="G21" s="12">
        <f t="shared" ref="G21:AB21" si="11">F21+1</f>
        <v>2025</v>
      </c>
      <c r="H21" s="12">
        <f t="shared" si="11"/>
        <v>2026</v>
      </c>
      <c r="I21" s="12">
        <f t="shared" si="11"/>
        <v>2027</v>
      </c>
      <c r="J21" s="12">
        <f t="shared" si="11"/>
        <v>2028</v>
      </c>
      <c r="K21" s="12">
        <f t="shared" si="11"/>
        <v>2029</v>
      </c>
      <c r="L21" s="12">
        <f t="shared" si="11"/>
        <v>2030</v>
      </c>
      <c r="M21" s="12">
        <f t="shared" si="11"/>
        <v>2031</v>
      </c>
      <c r="N21" s="12">
        <f t="shared" si="11"/>
        <v>2032</v>
      </c>
      <c r="O21" s="12">
        <f t="shared" si="11"/>
        <v>2033</v>
      </c>
      <c r="P21" s="12">
        <f t="shared" si="11"/>
        <v>2034</v>
      </c>
      <c r="Q21" s="12">
        <f t="shared" si="11"/>
        <v>2035</v>
      </c>
      <c r="R21" s="12">
        <f t="shared" si="11"/>
        <v>2036</v>
      </c>
      <c r="S21" s="12">
        <f t="shared" si="11"/>
        <v>2037</v>
      </c>
      <c r="T21" s="12">
        <f t="shared" si="11"/>
        <v>2038</v>
      </c>
      <c r="U21" s="12">
        <f t="shared" si="11"/>
        <v>2039</v>
      </c>
      <c r="V21" s="12">
        <f t="shared" si="11"/>
        <v>2040</v>
      </c>
      <c r="W21" s="12">
        <f t="shared" si="11"/>
        <v>2041</v>
      </c>
      <c r="X21" s="12">
        <f t="shared" si="11"/>
        <v>2042</v>
      </c>
      <c r="Y21" s="12">
        <f t="shared" si="11"/>
        <v>2043</v>
      </c>
      <c r="Z21" s="12">
        <f t="shared" si="11"/>
        <v>2044</v>
      </c>
      <c r="AA21" s="12">
        <f t="shared" si="11"/>
        <v>2045</v>
      </c>
      <c r="AB21" s="12">
        <f t="shared" si="11"/>
        <v>2046</v>
      </c>
    </row>
    <row r="22" spans="1:28" ht="30" x14ac:dyDescent="0.25">
      <c r="A22" s="180" t="s">
        <v>387</v>
      </c>
      <c r="B22" s="193">
        <f>B10</f>
        <v>120</v>
      </c>
      <c r="C22" s="193">
        <f t="shared" ref="C22:H22" si="12">C10</f>
        <v>126.6</v>
      </c>
      <c r="D22" s="193">
        <f t="shared" si="12"/>
        <v>133.56299999999999</v>
      </c>
      <c r="E22" s="193">
        <f t="shared" si="12"/>
        <v>140.90896499999997</v>
      </c>
      <c r="F22" s="193">
        <f t="shared" si="12"/>
        <v>148.65895807499996</v>
      </c>
      <c r="G22" s="193">
        <f t="shared" si="12"/>
        <v>156.83520076912495</v>
      </c>
      <c r="H22" s="193">
        <f t="shared" si="12"/>
        <v>165.46113681142683</v>
      </c>
      <c r="I22" s="193">
        <f>I10*2</f>
        <v>349.12299867211055</v>
      </c>
      <c r="J22" s="193">
        <f>I22*1.1</f>
        <v>384.03529853932162</v>
      </c>
      <c r="K22" s="193">
        <f t="shared" ref="K22:AB22" si="13">J22*1.1</f>
        <v>422.4388283932538</v>
      </c>
      <c r="L22" s="193">
        <f t="shared" si="13"/>
        <v>464.68271123257921</v>
      </c>
      <c r="M22" s="193">
        <f t="shared" si="13"/>
        <v>511.15098235583719</v>
      </c>
      <c r="N22" s="193">
        <f t="shared" si="13"/>
        <v>562.26608059142097</v>
      </c>
      <c r="O22" s="193">
        <f t="shared" si="13"/>
        <v>618.49268865056308</v>
      </c>
      <c r="P22" s="193">
        <f t="shared" si="13"/>
        <v>680.34195751561947</v>
      </c>
      <c r="Q22" s="193">
        <f t="shared" si="13"/>
        <v>748.37615326718151</v>
      </c>
      <c r="R22" s="193">
        <f t="shared" si="13"/>
        <v>823.21376859389977</v>
      </c>
      <c r="S22" s="193">
        <f t="shared" si="13"/>
        <v>905.53514545328983</v>
      </c>
      <c r="T22" s="193">
        <f t="shared" si="13"/>
        <v>996.08865999861894</v>
      </c>
      <c r="U22" s="193">
        <f t="shared" si="13"/>
        <v>1095.6975259984808</v>
      </c>
      <c r="V22" s="193">
        <f t="shared" si="13"/>
        <v>1205.2672785983291</v>
      </c>
      <c r="W22" s="193">
        <f t="shared" si="13"/>
        <v>1325.7940064581621</v>
      </c>
      <c r="X22" s="193">
        <f t="shared" si="13"/>
        <v>1458.3734071039785</v>
      </c>
      <c r="Y22" s="193">
        <f t="shared" si="13"/>
        <v>1604.2107478143764</v>
      </c>
      <c r="Z22" s="193">
        <f t="shared" si="13"/>
        <v>1764.6318225958141</v>
      </c>
      <c r="AA22" s="193">
        <f t="shared" si="13"/>
        <v>1941.0950048553957</v>
      </c>
      <c r="AB22" s="193">
        <f t="shared" si="13"/>
        <v>2135.2045053409356</v>
      </c>
    </row>
    <row r="23" spans="1:28" x14ac:dyDescent="0.25">
      <c r="A23" s="180" t="s">
        <v>275</v>
      </c>
      <c r="B23" s="183">
        <f t="shared" ref="B23:AB23" si="14">B22*0.5</f>
        <v>60</v>
      </c>
      <c r="C23" s="183">
        <f t="shared" si="14"/>
        <v>63.3</v>
      </c>
      <c r="D23" s="183">
        <f t="shared" si="14"/>
        <v>66.781499999999994</v>
      </c>
      <c r="E23" s="183">
        <f t="shared" si="14"/>
        <v>70.454482499999983</v>
      </c>
      <c r="F23" s="183">
        <f t="shared" si="14"/>
        <v>74.329479037499979</v>
      </c>
      <c r="G23" s="183">
        <f t="shared" si="14"/>
        <v>78.417600384562476</v>
      </c>
      <c r="H23" s="183">
        <f t="shared" si="14"/>
        <v>82.730568405713413</v>
      </c>
      <c r="I23" s="183">
        <f t="shared" si="14"/>
        <v>174.56149933605528</v>
      </c>
      <c r="J23" s="183">
        <f t="shared" si="14"/>
        <v>192.01764926966081</v>
      </c>
      <c r="K23" s="183">
        <f t="shared" si="14"/>
        <v>211.2194141966269</v>
      </c>
      <c r="L23" s="183">
        <f t="shared" si="14"/>
        <v>232.3413556162896</v>
      </c>
      <c r="M23" s="183">
        <f t="shared" si="14"/>
        <v>255.57549117791859</v>
      </c>
      <c r="N23" s="183">
        <f t="shared" si="14"/>
        <v>281.13304029571049</v>
      </c>
      <c r="O23" s="183">
        <f t="shared" si="14"/>
        <v>309.24634432528154</v>
      </c>
      <c r="P23" s="183">
        <f t="shared" si="14"/>
        <v>340.17097875780973</v>
      </c>
      <c r="Q23" s="183">
        <f t="shared" si="14"/>
        <v>374.18807663359075</v>
      </c>
      <c r="R23" s="183">
        <f t="shared" si="14"/>
        <v>411.60688429694989</v>
      </c>
      <c r="S23" s="183">
        <f t="shared" si="14"/>
        <v>452.76757272664491</v>
      </c>
      <c r="T23" s="183">
        <f t="shared" si="14"/>
        <v>498.04432999930947</v>
      </c>
      <c r="U23" s="183">
        <f t="shared" si="14"/>
        <v>547.84876299924042</v>
      </c>
      <c r="V23" s="183">
        <f t="shared" si="14"/>
        <v>602.63363929916454</v>
      </c>
      <c r="W23" s="183">
        <f t="shared" si="14"/>
        <v>662.89700322908107</v>
      </c>
      <c r="X23" s="183">
        <f t="shared" si="14"/>
        <v>729.18670355198924</v>
      </c>
      <c r="Y23" s="183">
        <f t="shared" si="14"/>
        <v>802.10537390718821</v>
      </c>
      <c r="Z23" s="183">
        <f t="shared" si="14"/>
        <v>882.31591129790706</v>
      </c>
      <c r="AA23" s="183">
        <f t="shared" si="14"/>
        <v>970.54750242769785</v>
      </c>
      <c r="AB23" s="183">
        <f t="shared" si="14"/>
        <v>1067.6022526704678</v>
      </c>
    </row>
    <row r="24" spans="1:28" x14ac:dyDescent="0.25">
      <c r="A24" s="180" t="s">
        <v>276</v>
      </c>
      <c r="B24" s="184">
        <v>10</v>
      </c>
      <c r="C24" s="184">
        <v>10</v>
      </c>
      <c r="D24" s="184">
        <v>10</v>
      </c>
      <c r="E24" s="184">
        <v>10</v>
      </c>
      <c r="F24" s="184">
        <v>10</v>
      </c>
      <c r="G24" s="184">
        <v>10</v>
      </c>
      <c r="H24" s="184">
        <v>10</v>
      </c>
      <c r="I24" s="184">
        <v>10</v>
      </c>
      <c r="J24" s="184">
        <v>10</v>
      </c>
      <c r="K24" s="184">
        <v>10</v>
      </c>
      <c r="L24" s="184">
        <v>10</v>
      </c>
      <c r="M24" s="184">
        <v>10</v>
      </c>
      <c r="N24" s="184">
        <v>10</v>
      </c>
      <c r="O24" s="184">
        <v>10</v>
      </c>
      <c r="P24" s="184">
        <v>10</v>
      </c>
      <c r="Q24" s="184">
        <v>10</v>
      </c>
      <c r="R24" s="184">
        <v>10</v>
      </c>
      <c r="S24" s="184">
        <v>10</v>
      </c>
      <c r="T24" s="184">
        <v>10</v>
      </c>
      <c r="U24" s="184">
        <v>10</v>
      </c>
      <c r="V24" s="184">
        <v>10</v>
      </c>
      <c r="W24" s="184">
        <v>10</v>
      </c>
      <c r="X24" s="184">
        <v>10</v>
      </c>
      <c r="Y24" s="184">
        <v>10</v>
      </c>
      <c r="Z24" s="184">
        <v>10</v>
      </c>
      <c r="AA24" s="184">
        <v>10</v>
      </c>
      <c r="AB24" s="184">
        <v>10</v>
      </c>
    </row>
    <row r="25" spans="1:28" x14ac:dyDescent="0.25">
      <c r="A25" s="180" t="s">
        <v>277</v>
      </c>
      <c r="B25" s="182">
        <v>292</v>
      </c>
      <c r="C25" s="182">
        <v>292</v>
      </c>
      <c r="D25" s="182">
        <v>292</v>
      </c>
      <c r="E25" s="182">
        <v>292</v>
      </c>
      <c r="F25" s="182">
        <v>292</v>
      </c>
      <c r="G25" s="182">
        <v>292</v>
      </c>
      <c r="H25" s="182">
        <v>292</v>
      </c>
      <c r="I25" s="182">
        <v>292</v>
      </c>
      <c r="J25" s="182">
        <v>292</v>
      </c>
      <c r="K25" s="182">
        <v>292</v>
      </c>
      <c r="L25" s="182">
        <v>292</v>
      </c>
      <c r="M25" s="182">
        <v>292</v>
      </c>
      <c r="N25" s="182">
        <v>292</v>
      </c>
      <c r="O25" s="182">
        <v>292</v>
      </c>
      <c r="P25" s="182">
        <v>292</v>
      </c>
      <c r="Q25" s="182">
        <v>292</v>
      </c>
      <c r="R25" s="182">
        <v>292</v>
      </c>
      <c r="S25" s="182">
        <v>292</v>
      </c>
      <c r="T25" s="182">
        <v>292</v>
      </c>
      <c r="U25" s="182">
        <v>292</v>
      </c>
      <c r="V25" s="182">
        <v>292</v>
      </c>
      <c r="W25" s="182">
        <v>292</v>
      </c>
      <c r="X25" s="182">
        <v>292</v>
      </c>
      <c r="Y25" s="182">
        <v>292</v>
      </c>
      <c r="Z25" s="182">
        <v>292</v>
      </c>
      <c r="AA25" s="182">
        <v>292</v>
      </c>
      <c r="AB25" s="182">
        <v>292</v>
      </c>
    </row>
    <row r="26" spans="1:28" x14ac:dyDescent="0.25">
      <c r="A26" s="180" t="s">
        <v>278</v>
      </c>
      <c r="B26" s="184">
        <f t="shared" ref="B26:H26" si="15">B23*B24*B25</f>
        <v>175200</v>
      </c>
      <c r="C26" s="184">
        <f t="shared" si="15"/>
        <v>184836</v>
      </c>
      <c r="D26" s="184">
        <f t="shared" si="15"/>
        <v>195001.97999999998</v>
      </c>
      <c r="E26" s="184">
        <f t="shared" si="15"/>
        <v>205727.08889999994</v>
      </c>
      <c r="F26" s="184">
        <f t="shared" si="15"/>
        <v>217042.07878949994</v>
      </c>
      <c r="G26" s="184">
        <f t="shared" si="15"/>
        <v>228979.39312292243</v>
      </c>
      <c r="H26" s="184">
        <f t="shared" si="15"/>
        <v>241573.25974468316</v>
      </c>
      <c r="I26" s="184">
        <f t="shared" ref="I26:AB26" si="16">I23*I24*I25</f>
        <v>509719.57806128141</v>
      </c>
      <c r="J26" s="184">
        <f t="shared" si="16"/>
        <v>560691.53586740955</v>
      </c>
      <c r="K26" s="184">
        <f t="shared" si="16"/>
        <v>616760.6894541505</v>
      </c>
      <c r="L26" s="184">
        <f t="shared" si="16"/>
        <v>678436.75839956559</v>
      </c>
      <c r="M26" s="184">
        <f t="shared" si="16"/>
        <v>746280.43423952232</v>
      </c>
      <c r="N26" s="184">
        <f t="shared" si="16"/>
        <v>820908.47766347462</v>
      </c>
      <c r="O26" s="184">
        <f t="shared" si="16"/>
        <v>902999.32542982209</v>
      </c>
      <c r="P26" s="184">
        <f t="shared" si="16"/>
        <v>993299.25797280448</v>
      </c>
      <c r="Q26" s="184">
        <f t="shared" si="16"/>
        <v>1092629.183770085</v>
      </c>
      <c r="R26" s="184">
        <f t="shared" si="16"/>
        <v>1201892.1021470937</v>
      </c>
      <c r="S26" s="184">
        <f t="shared" si="16"/>
        <v>1322081.3123618031</v>
      </c>
      <c r="T26" s="184">
        <f t="shared" si="16"/>
        <v>1454289.4435979838</v>
      </c>
      <c r="U26" s="184">
        <f t="shared" si="16"/>
        <v>1599718.387957782</v>
      </c>
      <c r="V26" s="184">
        <f t="shared" si="16"/>
        <v>1759690.2267535604</v>
      </c>
      <c r="W26" s="184">
        <f t="shared" si="16"/>
        <v>1935659.2494289165</v>
      </c>
      <c r="X26" s="184">
        <f t="shared" si="16"/>
        <v>2129225.1743718083</v>
      </c>
      <c r="Y26" s="184">
        <f t="shared" si="16"/>
        <v>2342147.6918089893</v>
      </c>
      <c r="Z26" s="184">
        <f t="shared" si="16"/>
        <v>2576362.4609898888</v>
      </c>
      <c r="AA26" s="184">
        <f t="shared" si="16"/>
        <v>2833998.7070888779</v>
      </c>
      <c r="AB26" s="184">
        <f t="shared" si="16"/>
        <v>3117398.5777977658</v>
      </c>
    </row>
    <row r="27" spans="1:28" x14ac:dyDescent="0.25">
      <c r="A27" s="15" t="s">
        <v>66</v>
      </c>
      <c r="B27" s="190">
        <f t="shared" ref="B27:H27" si="17">B26*0.93</f>
        <v>162936</v>
      </c>
      <c r="C27" s="190">
        <f t="shared" si="17"/>
        <v>171897.48</v>
      </c>
      <c r="D27" s="190">
        <f t="shared" si="17"/>
        <v>181351.8414</v>
      </c>
      <c r="E27" s="190">
        <f t="shared" si="17"/>
        <v>191326.19267699996</v>
      </c>
      <c r="F27" s="190">
        <f t="shared" si="17"/>
        <v>201849.13327423495</v>
      </c>
      <c r="G27" s="190">
        <f t="shared" si="17"/>
        <v>212950.83560431786</v>
      </c>
      <c r="H27" s="190">
        <f t="shared" si="17"/>
        <v>224663.13156255535</v>
      </c>
      <c r="I27" s="190">
        <f>I26*0.93</f>
        <v>474039.20759699174</v>
      </c>
      <c r="J27" s="190">
        <f t="shared" ref="J27:AB27" si="18">J26*0.93</f>
        <v>521443.12835669093</v>
      </c>
      <c r="K27" s="190">
        <f t="shared" si="18"/>
        <v>573587.44119236001</v>
      </c>
      <c r="L27" s="190">
        <f t="shared" si="18"/>
        <v>630946.18531159603</v>
      </c>
      <c r="M27" s="190">
        <f t="shared" si="18"/>
        <v>694040.80384275585</v>
      </c>
      <c r="N27" s="190">
        <f t="shared" si="18"/>
        <v>763444.88422703149</v>
      </c>
      <c r="O27" s="190">
        <f t="shared" si="18"/>
        <v>839789.37264973461</v>
      </c>
      <c r="P27" s="190">
        <f t="shared" si="18"/>
        <v>923768.30991470825</v>
      </c>
      <c r="Q27" s="190">
        <f t="shared" si="18"/>
        <v>1016145.1409061791</v>
      </c>
      <c r="R27" s="190">
        <f t="shared" si="18"/>
        <v>1117759.6549967972</v>
      </c>
      <c r="S27" s="190">
        <f t="shared" si="18"/>
        <v>1229535.620496477</v>
      </c>
      <c r="T27" s="190">
        <f t="shared" si="18"/>
        <v>1352489.182546125</v>
      </c>
      <c r="U27" s="190">
        <f t="shared" si="18"/>
        <v>1487738.1008007373</v>
      </c>
      <c r="V27" s="190">
        <f t="shared" si="18"/>
        <v>1636511.9108808113</v>
      </c>
      <c r="W27" s="190">
        <f t="shared" si="18"/>
        <v>1800163.1019688924</v>
      </c>
      <c r="X27" s="190">
        <f t="shared" si="18"/>
        <v>1980179.4121657817</v>
      </c>
      <c r="Y27" s="190">
        <f t="shared" si="18"/>
        <v>2178197.3533823602</v>
      </c>
      <c r="Z27" s="190">
        <f t="shared" si="18"/>
        <v>2396017.0887205969</v>
      </c>
      <c r="AA27" s="190">
        <f t="shared" si="18"/>
        <v>2635618.7975926567</v>
      </c>
      <c r="AB27" s="190">
        <f t="shared" si="18"/>
        <v>2899180.6773519223</v>
      </c>
    </row>
    <row r="28" spans="1:28" x14ac:dyDescent="0.25">
      <c r="A28" s="15" t="s">
        <v>67</v>
      </c>
      <c r="B28" s="190">
        <f t="shared" ref="B28:H28" si="19">B26*0.97</f>
        <v>169944</v>
      </c>
      <c r="C28" s="190">
        <f t="shared" si="19"/>
        <v>179290.91999999998</v>
      </c>
      <c r="D28" s="190">
        <f t="shared" si="19"/>
        <v>189151.92059999998</v>
      </c>
      <c r="E28" s="190">
        <f t="shared" si="19"/>
        <v>199555.27623299995</v>
      </c>
      <c r="F28" s="190">
        <f t="shared" si="19"/>
        <v>210530.81642581493</v>
      </c>
      <c r="G28" s="190">
        <f t="shared" si="19"/>
        <v>222110.01132923475</v>
      </c>
      <c r="H28" s="190">
        <f t="shared" si="19"/>
        <v>234326.06195234266</v>
      </c>
      <c r="I28" s="190">
        <f>I26*0.97</f>
        <v>494427.99071944295</v>
      </c>
      <c r="J28" s="190">
        <f t="shared" ref="J28:AB28" si="20">J26*0.97</f>
        <v>543870.78979138727</v>
      </c>
      <c r="K28" s="190">
        <f t="shared" si="20"/>
        <v>598257.86877052602</v>
      </c>
      <c r="L28" s="190">
        <f t="shared" si="20"/>
        <v>658083.65564757865</v>
      </c>
      <c r="M28" s="190">
        <f t="shared" si="20"/>
        <v>723892.02121233661</v>
      </c>
      <c r="N28" s="190">
        <f t="shared" si="20"/>
        <v>796281.22333357041</v>
      </c>
      <c r="O28" s="190">
        <f t="shared" si="20"/>
        <v>875909.3456669274</v>
      </c>
      <c r="P28" s="190">
        <f t="shared" si="20"/>
        <v>963500.28023362032</v>
      </c>
      <c r="Q28" s="190">
        <f t="shared" si="20"/>
        <v>1059850.3082569824</v>
      </c>
      <c r="R28" s="190">
        <f t="shared" si="20"/>
        <v>1165835.3390826809</v>
      </c>
      <c r="S28" s="190">
        <f t="shared" si="20"/>
        <v>1282418.8729909491</v>
      </c>
      <c r="T28" s="190">
        <f t="shared" si="20"/>
        <v>1410660.7602900444</v>
      </c>
      <c r="U28" s="190">
        <f t="shared" si="20"/>
        <v>1551726.8363190484</v>
      </c>
      <c r="V28" s="190">
        <f t="shared" si="20"/>
        <v>1706899.5199509535</v>
      </c>
      <c r="W28" s="190">
        <f t="shared" si="20"/>
        <v>1877589.471946049</v>
      </c>
      <c r="X28" s="190">
        <f t="shared" si="20"/>
        <v>2065348.4191406539</v>
      </c>
      <c r="Y28" s="190">
        <f t="shared" si="20"/>
        <v>2271883.2610547193</v>
      </c>
      <c r="Z28" s="190">
        <f t="shared" si="20"/>
        <v>2499071.587160192</v>
      </c>
      <c r="AA28" s="190">
        <f t="shared" si="20"/>
        <v>2748978.7458762117</v>
      </c>
      <c r="AB28" s="190">
        <f t="shared" si="20"/>
        <v>3023876.6204638327</v>
      </c>
    </row>
    <row r="30" spans="1:28" x14ac:dyDescent="0.25">
      <c r="A30" s="187" t="s">
        <v>386</v>
      </c>
    </row>
    <row r="31" spans="1:28" x14ac:dyDescent="0.25">
      <c r="A31" s="187"/>
    </row>
    <row r="32" spans="1:28" s="186" customFormat="1" x14ac:dyDescent="0.25">
      <c r="A32" s="185"/>
      <c r="I32" s="186">
        <f>F32+1</f>
        <v>1</v>
      </c>
      <c r="J32" s="186">
        <f t="shared" ref="J32:AB32" si="21">I32+1</f>
        <v>2</v>
      </c>
      <c r="K32" s="186">
        <f t="shared" si="21"/>
        <v>3</v>
      </c>
      <c r="L32" s="186">
        <f t="shared" si="21"/>
        <v>4</v>
      </c>
      <c r="M32" s="186">
        <f t="shared" si="21"/>
        <v>5</v>
      </c>
      <c r="N32" s="186">
        <f t="shared" si="21"/>
        <v>6</v>
      </c>
      <c r="O32" s="186">
        <f t="shared" si="21"/>
        <v>7</v>
      </c>
      <c r="P32" s="186">
        <f t="shared" si="21"/>
        <v>8</v>
      </c>
      <c r="Q32" s="186">
        <f t="shared" si="21"/>
        <v>9</v>
      </c>
      <c r="R32" s="186">
        <f t="shared" si="21"/>
        <v>10</v>
      </c>
      <c r="S32" s="186">
        <f t="shared" si="21"/>
        <v>11</v>
      </c>
      <c r="T32" s="186">
        <f t="shared" si="21"/>
        <v>12</v>
      </c>
      <c r="U32" s="186">
        <f t="shared" si="21"/>
        <v>13</v>
      </c>
      <c r="V32" s="186">
        <f t="shared" si="21"/>
        <v>14</v>
      </c>
      <c r="W32" s="186">
        <f t="shared" si="21"/>
        <v>15</v>
      </c>
      <c r="X32" s="186">
        <f t="shared" si="21"/>
        <v>16</v>
      </c>
      <c r="Y32" s="186">
        <f t="shared" si="21"/>
        <v>17</v>
      </c>
      <c r="Z32" s="186">
        <f t="shared" si="21"/>
        <v>18</v>
      </c>
      <c r="AA32" s="186">
        <f t="shared" si="21"/>
        <v>19</v>
      </c>
      <c r="AB32" s="186">
        <f t="shared" si="21"/>
        <v>20</v>
      </c>
    </row>
    <row r="33" spans="1:28" customFormat="1" x14ac:dyDescent="0.25">
      <c r="A33" s="12" t="s">
        <v>342</v>
      </c>
      <c r="B33" s="5">
        <v>2020</v>
      </c>
      <c r="C33" s="5">
        <f t="shared" ref="C33:AB33" si="22">B33+1</f>
        <v>2021</v>
      </c>
      <c r="D33" s="5">
        <f t="shared" si="22"/>
        <v>2022</v>
      </c>
      <c r="E33" s="5">
        <f t="shared" si="22"/>
        <v>2023</v>
      </c>
      <c r="F33" s="5">
        <f t="shared" si="22"/>
        <v>2024</v>
      </c>
      <c r="G33" s="5">
        <f t="shared" si="22"/>
        <v>2025</v>
      </c>
      <c r="H33" s="5">
        <f t="shared" si="22"/>
        <v>2026</v>
      </c>
      <c r="I33" s="5">
        <f t="shared" si="22"/>
        <v>2027</v>
      </c>
      <c r="J33" s="5">
        <f t="shared" si="22"/>
        <v>2028</v>
      </c>
      <c r="K33" s="5">
        <f t="shared" si="22"/>
        <v>2029</v>
      </c>
      <c r="L33" s="5">
        <f t="shared" si="22"/>
        <v>2030</v>
      </c>
      <c r="M33" s="5">
        <f t="shared" si="22"/>
        <v>2031</v>
      </c>
      <c r="N33" s="5">
        <f t="shared" si="22"/>
        <v>2032</v>
      </c>
      <c r="O33" s="5">
        <f t="shared" si="22"/>
        <v>2033</v>
      </c>
      <c r="P33" s="5">
        <f t="shared" si="22"/>
        <v>2034</v>
      </c>
      <c r="Q33" s="5">
        <f t="shared" si="22"/>
        <v>2035</v>
      </c>
      <c r="R33" s="5">
        <f t="shared" si="22"/>
        <v>2036</v>
      </c>
      <c r="S33" s="5">
        <f t="shared" si="22"/>
        <v>2037</v>
      </c>
      <c r="T33" s="5">
        <f t="shared" si="22"/>
        <v>2038</v>
      </c>
      <c r="U33" s="5">
        <f t="shared" si="22"/>
        <v>2039</v>
      </c>
      <c r="V33" s="5">
        <f t="shared" si="22"/>
        <v>2040</v>
      </c>
      <c r="W33" s="5">
        <f t="shared" si="22"/>
        <v>2041</v>
      </c>
      <c r="X33" s="5">
        <f t="shared" si="22"/>
        <v>2042</v>
      </c>
      <c r="Y33" s="5">
        <f t="shared" si="22"/>
        <v>2043</v>
      </c>
      <c r="Z33" s="5">
        <f t="shared" si="22"/>
        <v>2044</v>
      </c>
      <c r="AA33" s="5">
        <f t="shared" si="22"/>
        <v>2045</v>
      </c>
      <c r="AB33" s="5">
        <f t="shared" si="22"/>
        <v>2046</v>
      </c>
    </row>
    <row r="34" spans="1:28" customFormat="1" x14ac:dyDescent="0.25">
      <c r="A34" s="57" t="s">
        <v>42</v>
      </c>
      <c r="B34" s="195">
        <f t="shared" ref="B34:AB34" si="23">B26-B14</f>
        <v>0</v>
      </c>
      <c r="C34" s="195">
        <f t="shared" si="23"/>
        <v>0</v>
      </c>
      <c r="D34" s="195">
        <f t="shared" si="23"/>
        <v>0</v>
      </c>
      <c r="E34" s="195">
        <f t="shared" si="23"/>
        <v>0</v>
      </c>
      <c r="F34" s="195">
        <f t="shared" si="23"/>
        <v>0</v>
      </c>
      <c r="G34" s="195">
        <f t="shared" si="23"/>
        <v>0</v>
      </c>
      <c r="H34" s="195">
        <f t="shared" si="23"/>
        <v>0</v>
      </c>
      <c r="I34" s="195">
        <f>I26-I14</f>
        <v>254859.78903064071</v>
      </c>
      <c r="J34" s="195">
        <f t="shared" si="23"/>
        <v>291814.45844008366</v>
      </c>
      <c r="K34" s="195">
        <f t="shared" si="23"/>
        <v>333095.37276832166</v>
      </c>
      <c r="L34" s="195">
        <f t="shared" si="23"/>
        <v>379169.84929601621</v>
      </c>
      <c r="M34" s="195">
        <f t="shared" si="23"/>
        <v>430553.84513527778</v>
      </c>
      <c r="N34" s="195">
        <f t="shared" si="23"/>
        <v>487816.92615849659</v>
      </c>
      <c r="O34" s="195">
        <f t="shared" si="23"/>
        <v>551587.73859207029</v>
      </c>
      <c r="P34" s="195">
        <f t="shared" si="23"/>
        <v>622560.03385897633</v>
      </c>
      <c r="Q34" s="195">
        <f t="shared" si="23"/>
        <v>701499.30232999637</v>
      </c>
      <c r="R34" s="195">
        <f t="shared" si="23"/>
        <v>789250.07722780027</v>
      </c>
      <c r="S34" s="195">
        <f t="shared" si="23"/>
        <v>886743.97607194853</v>
      </c>
      <c r="T34" s="195">
        <f t="shared" si="23"/>
        <v>995008.55381218717</v>
      </c>
      <c r="U34" s="195">
        <f t="shared" si="23"/>
        <v>1115177.0492337667</v>
      </c>
      <c r="V34" s="195">
        <f t="shared" si="23"/>
        <v>1248499.1143997242</v>
      </c>
      <c r="W34" s="195">
        <f t="shared" si="23"/>
        <v>1396352.6258956194</v>
      </c>
      <c r="X34" s="195">
        <f t="shared" si="23"/>
        <v>1560256.6865441799</v>
      </c>
      <c r="Y34" s="195">
        <f t="shared" si="23"/>
        <v>1741885.9371508413</v>
      </c>
      <c r="Z34" s="195">
        <f t="shared" si="23"/>
        <v>1943086.3098255426</v>
      </c>
      <c r="AA34" s="195">
        <f t="shared" si="23"/>
        <v>2165892.3676104927</v>
      </c>
      <c r="AB34" s="195">
        <f t="shared" si="23"/>
        <v>2412546.3896480696</v>
      </c>
    </row>
    <row r="35" spans="1:28" customFormat="1" x14ac:dyDescent="0.25">
      <c r="A35" s="15" t="s">
        <v>66</v>
      </c>
      <c r="B35" s="195">
        <f t="shared" ref="B35:AB35" si="24">B34*B5</f>
        <v>0</v>
      </c>
      <c r="C35" s="195">
        <f t="shared" si="24"/>
        <v>0</v>
      </c>
      <c r="D35" s="195">
        <f t="shared" si="24"/>
        <v>0</v>
      </c>
      <c r="E35" s="195">
        <f t="shared" si="24"/>
        <v>0</v>
      </c>
      <c r="F35" s="195">
        <f t="shared" si="24"/>
        <v>0</v>
      </c>
      <c r="G35" s="195">
        <f t="shared" si="24"/>
        <v>0</v>
      </c>
      <c r="H35" s="195">
        <f t="shared" si="24"/>
        <v>0</v>
      </c>
      <c r="I35" s="195">
        <f t="shared" si="24"/>
        <v>158713.86783559283</v>
      </c>
      <c r="J35" s="195">
        <f t="shared" si="24"/>
        <v>169838.67165584469</v>
      </c>
      <c r="K35" s="195">
        <f t="shared" si="24"/>
        <v>181181.81274733512</v>
      </c>
      <c r="L35" s="195">
        <f t="shared" si="24"/>
        <v>192750.72448845746</v>
      </c>
      <c r="M35" s="195">
        <f t="shared" si="24"/>
        <v>204553.03028074704</v>
      </c>
      <c r="N35" s="195">
        <f t="shared" si="24"/>
        <v>216596.54913442716</v>
      </c>
      <c r="O35" s="195">
        <f t="shared" si="24"/>
        <v>228889.30140694545</v>
      </c>
      <c r="P35" s="195">
        <f t="shared" si="24"/>
        <v>241439.51469884056</v>
      </c>
      <c r="Q35" s="195">
        <f t="shared" si="24"/>
        <v>254255.62991139948</v>
      </c>
      <c r="R35" s="195">
        <f t="shared" si="24"/>
        <v>267346.30747069273</v>
      </c>
      <c r="S35" s="195">
        <f t="shared" si="24"/>
        <v>280720.4337226986</v>
      </c>
      <c r="T35" s="195">
        <f t="shared" si="24"/>
        <v>294387.12750436342</v>
      </c>
      <c r="U35" s="195">
        <f t="shared" si="24"/>
        <v>308355.74689557572</v>
      </c>
      <c r="V35" s="195">
        <f t="shared" si="24"/>
        <v>322635.8961571749</v>
      </c>
      <c r="W35" s="195">
        <f t="shared" si="24"/>
        <v>337237.43286025518</v>
      </c>
      <c r="X35" s="195">
        <f t="shared" si="24"/>
        <v>352170.47521217389</v>
      </c>
      <c r="Y35" s="195">
        <f t="shared" si="24"/>
        <v>367445.409584824</v>
      </c>
      <c r="Z35" s="195">
        <f t="shared" si="24"/>
        <v>383072.89825088542</v>
      </c>
      <c r="AA35" s="195">
        <f t="shared" si="24"/>
        <v>399063.88733392942</v>
      </c>
      <c r="AB35" s="195">
        <f t="shared" si="24"/>
        <v>415429.6149784163</v>
      </c>
    </row>
    <row r="36" spans="1:28" customFormat="1" x14ac:dyDescent="0.25">
      <c r="A36" s="15" t="s">
        <v>67</v>
      </c>
      <c r="B36" s="195">
        <f t="shared" ref="B36:AB36" si="25">B34*B6</f>
        <v>0</v>
      </c>
      <c r="C36" s="195">
        <f t="shared" si="25"/>
        <v>0</v>
      </c>
      <c r="D36" s="195">
        <f t="shared" si="25"/>
        <v>0</v>
      </c>
      <c r="E36" s="195">
        <f t="shared" si="25"/>
        <v>0</v>
      </c>
      <c r="F36" s="195">
        <f t="shared" si="25"/>
        <v>0</v>
      </c>
      <c r="G36" s="195">
        <f t="shared" si="25"/>
        <v>0</v>
      </c>
      <c r="H36" s="195">
        <f t="shared" si="25"/>
        <v>0</v>
      </c>
      <c r="I36" s="195">
        <f t="shared" si="25"/>
        <v>207224.33104357196</v>
      </c>
      <c r="J36" s="195">
        <f t="shared" si="25"/>
        <v>230361.02819892226</v>
      </c>
      <c r="K36" s="195">
        <f t="shared" si="25"/>
        <v>255289.86715587942</v>
      </c>
      <c r="L36" s="195">
        <f t="shared" si="25"/>
        <v>282137.977573474</v>
      </c>
      <c r="M36" s="195">
        <f t="shared" si="25"/>
        <v>311041.25844713318</v>
      </c>
      <c r="N36" s="195">
        <f t="shared" si="25"/>
        <v>342144.9772251508</v>
      </c>
      <c r="O36" s="195">
        <f t="shared" si="25"/>
        <v>375604.40971807699</v>
      </c>
      <c r="P36" s="195">
        <f t="shared" si="25"/>
        <v>411585.5235752117</v>
      </c>
      <c r="Q36" s="195">
        <f t="shared" si="25"/>
        <v>450265.70829097024</v>
      </c>
      <c r="R36" s="195">
        <f t="shared" si="25"/>
        <v>491834.55490528716</v>
      </c>
      <c r="S36" s="195">
        <f t="shared" si="25"/>
        <v>536494.68877731112</v>
      </c>
      <c r="T36" s="195">
        <f t="shared" si="25"/>
        <v>584462.65904135455</v>
      </c>
      <c r="U36" s="195">
        <f t="shared" si="25"/>
        <v>635969.8885993713</v>
      </c>
      <c r="V36" s="195">
        <f t="shared" si="25"/>
        <v>691263.68876623863</v>
      </c>
      <c r="W36" s="195">
        <f t="shared" si="25"/>
        <v>750608.34296390903</v>
      </c>
      <c r="X36" s="195">
        <f t="shared" si="25"/>
        <v>814286.26415931841</v>
      </c>
      <c r="Y36" s="195">
        <f t="shared" si="25"/>
        <v>882599.23106005706</v>
      </c>
      <c r="Z36" s="195">
        <f t="shared" si="25"/>
        <v>955869.70842262881</v>
      </c>
      <c r="AA36" s="195">
        <f t="shared" si="25"/>
        <v>1034442.2571920932</v>
      </c>
      <c r="AB36" s="195">
        <f t="shared" si="25"/>
        <v>1118685.0405806096</v>
      </c>
    </row>
  </sheetData>
  <pageMargins left="0.7" right="0.7" top="0.75" bottom="0.75" header="0.3" footer="0.3"/>
  <pageSetup paperSize="3" scale="58"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5BF2F-38F4-4468-A99A-D8C3698D4755}">
  <sheetPr>
    <pageSetUpPr fitToPage="1"/>
  </sheetPr>
  <dimension ref="A1:AB30"/>
  <sheetViews>
    <sheetView workbookViewId="0">
      <selection activeCell="K25" sqref="K25"/>
    </sheetView>
  </sheetViews>
  <sheetFormatPr defaultRowHeight="15" x14ac:dyDescent="0.25"/>
  <cols>
    <col min="1" max="1" width="55.140625" style="187" customWidth="1"/>
    <col min="2" max="6" width="9.140625" style="186"/>
    <col min="7" max="7" width="10.140625" style="186" bestFit="1" customWidth="1"/>
    <col min="8" max="8" width="9.140625" style="186"/>
    <col min="9" max="28" width="13.7109375" style="186" customWidth="1"/>
    <col min="29" max="16384" width="9.140625" style="186"/>
  </cols>
  <sheetData>
    <row r="1" spans="1:28" customFormat="1" ht="23.25" x14ac:dyDescent="0.35">
      <c r="A1" s="102" t="s">
        <v>285</v>
      </c>
      <c r="B1" s="102"/>
      <c r="C1" s="55"/>
      <c r="D1" s="55"/>
      <c r="E1" s="55"/>
    </row>
    <row r="2" spans="1:28" customFormat="1" x14ac:dyDescent="0.25"/>
    <row r="4" spans="1:28" customFormat="1" x14ac:dyDescent="0.25">
      <c r="A4" s="2"/>
      <c r="B4" s="5">
        <v>2020</v>
      </c>
      <c r="C4" s="5">
        <f t="shared" ref="C4:AB5" si="0">B4+1</f>
        <v>2021</v>
      </c>
      <c r="D4" s="5">
        <f t="shared" si="0"/>
        <v>2022</v>
      </c>
      <c r="E4" s="5">
        <f t="shared" si="0"/>
        <v>2023</v>
      </c>
      <c r="F4" s="5">
        <f t="shared" si="0"/>
        <v>2024</v>
      </c>
      <c r="G4" s="5">
        <f t="shared" si="0"/>
        <v>2025</v>
      </c>
      <c r="H4" s="5">
        <f t="shared" si="0"/>
        <v>2026</v>
      </c>
      <c r="I4" s="5">
        <f t="shared" si="0"/>
        <v>2027</v>
      </c>
      <c r="J4" s="5">
        <f t="shared" si="0"/>
        <v>2028</v>
      </c>
      <c r="K4" s="5">
        <f t="shared" si="0"/>
        <v>2029</v>
      </c>
      <c r="L4" s="5">
        <f t="shared" si="0"/>
        <v>2030</v>
      </c>
      <c r="M4" s="5">
        <f t="shared" si="0"/>
        <v>2031</v>
      </c>
      <c r="N4" s="5">
        <f t="shared" si="0"/>
        <v>2032</v>
      </c>
      <c r="O4" s="5">
        <f t="shared" si="0"/>
        <v>2033</v>
      </c>
      <c r="P4" s="5">
        <f t="shared" si="0"/>
        <v>2034</v>
      </c>
      <c r="Q4" s="5">
        <f t="shared" si="0"/>
        <v>2035</v>
      </c>
      <c r="R4" s="5">
        <f t="shared" si="0"/>
        <v>2036</v>
      </c>
      <c r="S4" s="5">
        <f t="shared" si="0"/>
        <v>2037</v>
      </c>
      <c r="T4" s="5">
        <f t="shared" si="0"/>
        <v>2038</v>
      </c>
      <c r="U4" s="5">
        <f t="shared" si="0"/>
        <v>2039</v>
      </c>
      <c r="V4" s="5">
        <f t="shared" si="0"/>
        <v>2040</v>
      </c>
      <c r="W4" s="5">
        <f t="shared" si="0"/>
        <v>2041</v>
      </c>
      <c r="X4" s="5">
        <f t="shared" si="0"/>
        <v>2042</v>
      </c>
      <c r="Y4" s="5">
        <f t="shared" si="0"/>
        <v>2043</v>
      </c>
      <c r="Z4" s="5">
        <f t="shared" si="0"/>
        <v>2044</v>
      </c>
      <c r="AA4" s="5">
        <f t="shared" si="0"/>
        <v>2045</v>
      </c>
      <c r="AB4" s="5">
        <f t="shared" si="0"/>
        <v>2046</v>
      </c>
    </row>
    <row r="5" spans="1:28" customFormat="1" x14ac:dyDescent="0.25">
      <c r="A5" s="57" t="s">
        <v>57</v>
      </c>
      <c r="B5" s="1">
        <v>0</v>
      </c>
      <c r="C5" s="1">
        <v>0</v>
      </c>
      <c r="D5" s="1">
        <v>0</v>
      </c>
      <c r="E5" s="1">
        <v>0</v>
      </c>
      <c r="F5" s="1">
        <v>0</v>
      </c>
      <c r="G5" s="1">
        <v>0</v>
      </c>
      <c r="H5" s="1">
        <v>0</v>
      </c>
      <c r="I5" s="1">
        <v>1</v>
      </c>
      <c r="J5" s="1">
        <f>I5+1</f>
        <v>2</v>
      </c>
      <c r="K5" s="1">
        <f t="shared" si="0"/>
        <v>3</v>
      </c>
      <c r="L5" s="1">
        <f t="shared" si="0"/>
        <v>4</v>
      </c>
      <c r="M5" s="1">
        <f t="shared" si="0"/>
        <v>5</v>
      </c>
      <c r="N5" s="1">
        <f t="shared" si="0"/>
        <v>6</v>
      </c>
      <c r="O5" s="1">
        <f t="shared" si="0"/>
        <v>7</v>
      </c>
      <c r="P5" s="1">
        <f t="shared" si="0"/>
        <v>8</v>
      </c>
      <c r="Q5" s="1">
        <f t="shared" si="0"/>
        <v>9</v>
      </c>
      <c r="R5" s="1">
        <f t="shared" si="0"/>
        <v>10</v>
      </c>
      <c r="S5" s="1">
        <f t="shared" si="0"/>
        <v>11</v>
      </c>
      <c r="T5" s="1">
        <f t="shared" si="0"/>
        <v>12</v>
      </c>
      <c r="U5" s="1">
        <f t="shared" si="0"/>
        <v>13</v>
      </c>
      <c r="V5" s="1">
        <f t="shared" si="0"/>
        <v>14</v>
      </c>
      <c r="W5" s="1">
        <f t="shared" si="0"/>
        <v>15</v>
      </c>
      <c r="X5" s="1">
        <f t="shared" si="0"/>
        <v>16</v>
      </c>
      <c r="Y5" s="1">
        <f t="shared" si="0"/>
        <v>17</v>
      </c>
      <c r="Z5" s="1">
        <f t="shared" si="0"/>
        <v>18</v>
      </c>
      <c r="AA5" s="1">
        <f t="shared" si="0"/>
        <v>19</v>
      </c>
      <c r="AB5" s="1">
        <f t="shared" si="0"/>
        <v>20</v>
      </c>
    </row>
    <row r="6" spans="1:28" customFormat="1" x14ac:dyDescent="0.25">
      <c r="A6" s="57" t="s">
        <v>293</v>
      </c>
      <c r="B6" s="51">
        <v>1</v>
      </c>
      <c r="C6" s="51">
        <v>0.93457943925233644</v>
      </c>
      <c r="D6" s="51">
        <v>0.87343872827321156</v>
      </c>
      <c r="E6" s="51">
        <v>0.81629787689085187</v>
      </c>
      <c r="F6" s="51">
        <v>0.7628952120475252</v>
      </c>
      <c r="G6" s="51">
        <v>0.71298617948366838</v>
      </c>
      <c r="H6" s="51">
        <v>0.66634222381651254</v>
      </c>
      <c r="I6" s="51">
        <v>0.62274974188459109</v>
      </c>
      <c r="J6" s="51">
        <v>0.5820091045650384</v>
      </c>
      <c r="K6" s="51">
        <v>0.54393374258414806</v>
      </c>
      <c r="L6" s="51">
        <v>0.5083492921347178</v>
      </c>
      <c r="M6" s="51">
        <v>0.47509279638758667</v>
      </c>
      <c r="N6" s="51">
        <v>0.44401195924073528</v>
      </c>
      <c r="O6" s="51">
        <v>0.41496444788853759</v>
      </c>
      <c r="P6" s="51">
        <v>0.3878172410173249</v>
      </c>
      <c r="Q6" s="51">
        <v>0.36244601964235967</v>
      </c>
      <c r="R6" s="51">
        <v>0.33873459779659787</v>
      </c>
      <c r="S6" s="51">
        <v>0.31657439046411018</v>
      </c>
      <c r="T6" s="51">
        <v>0.29586391632159825</v>
      </c>
      <c r="U6" s="51">
        <v>0.27650833301083949</v>
      </c>
      <c r="V6" s="51">
        <v>0.2584190028138687</v>
      </c>
      <c r="W6" s="51">
        <v>0.24151308674193336</v>
      </c>
      <c r="X6" s="51">
        <v>0.22571316517937698</v>
      </c>
      <c r="Y6" s="51">
        <v>0.21094688334521211</v>
      </c>
      <c r="Z6" s="51">
        <v>0.19714661994879637</v>
      </c>
      <c r="AA6" s="51">
        <v>0.18424917752223957</v>
      </c>
      <c r="AB6" s="51">
        <v>0.17219549301143888</v>
      </c>
    </row>
    <row r="7" spans="1:28" customFormat="1" x14ac:dyDescent="0.25">
      <c r="A7" s="57" t="s">
        <v>294</v>
      </c>
      <c r="B7" s="51">
        <v>1</v>
      </c>
      <c r="C7" s="51">
        <v>0.970873786407767</v>
      </c>
      <c r="D7" s="51">
        <v>0.94259590913375435</v>
      </c>
      <c r="E7" s="51">
        <v>0.91514165935315961</v>
      </c>
      <c r="F7" s="51">
        <v>0.888487047915689</v>
      </c>
      <c r="G7" s="51">
        <v>0.86260878438416411</v>
      </c>
      <c r="H7" s="51">
        <v>0.83748425668365445</v>
      </c>
      <c r="I7" s="51">
        <v>0.81309151134335378</v>
      </c>
      <c r="J7" s="51">
        <v>0.78940923431393573</v>
      </c>
      <c r="K7" s="51">
        <v>0.76641673234362695</v>
      </c>
      <c r="L7" s="51">
        <v>0.74409391489672516</v>
      </c>
      <c r="M7" s="51">
        <v>0.72242127659876232</v>
      </c>
      <c r="N7" s="51">
        <v>0.70137988019297326</v>
      </c>
      <c r="O7" s="51">
        <v>0.68095133999317792</v>
      </c>
      <c r="P7" s="51">
        <v>0.66111780581861923</v>
      </c>
      <c r="Q7" s="51">
        <v>0.64186194739671765</v>
      </c>
      <c r="R7" s="51">
        <v>0.62316693922011435</v>
      </c>
      <c r="S7" s="51">
        <v>0.60501644584477121</v>
      </c>
      <c r="T7" s="51">
        <v>0.5873946076162827</v>
      </c>
      <c r="U7" s="51">
        <v>0.57028602681192497</v>
      </c>
      <c r="V7" s="51">
        <v>0.55367575418633497</v>
      </c>
      <c r="W7" s="51">
        <v>0.5375492759090631</v>
      </c>
      <c r="X7" s="51">
        <v>0.52189250088258554</v>
      </c>
      <c r="Y7" s="51">
        <v>0.50669174842969467</v>
      </c>
      <c r="Z7" s="51">
        <v>0.49193373633950943</v>
      </c>
      <c r="AA7" s="51">
        <v>0.47760556926165965</v>
      </c>
      <c r="AB7" s="51">
        <v>0.46369472743850448</v>
      </c>
    </row>
    <row r="10" spans="1:28" x14ac:dyDescent="0.25">
      <c r="A10" s="188" t="s">
        <v>274</v>
      </c>
      <c r="I10" s="186">
        <f>F10+1</f>
        <v>1</v>
      </c>
      <c r="J10" s="186">
        <f t="shared" ref="J10:AB10" si="1">I10+1</f>
        <v>2</v>
      </c>
      <c r="K10" s="186">
        <f t="shared" si="1"/>
        <v>3</v>
      </c>
      <c r="L10" s="186">
        <f t="shared" si="1"/>
        <v>4</v>
      </c>
      <c r="M10" s="186">
        <f t="shared" si="1"/>
        <v>5</v>
      </c>
      <c r="N10" s="186">
        <f t="shared" si="1"/>
        <v>6</v>
      </c>
      <c r="O10" s="186">
        <f t="shared" si="1"/>
        <v>7</v>
      </c>
      <c r="P10" s="186">
        <f t="shared" si="1"/>
        <v>8</v>
      </c>
      <c r="Q10" s="186">
        <f t="shared" si="1"/>
        <v>9</v>
      </c>
      <c r="R10" s="186">
        <f t="shared" si="1"/>
        <v>10</v>
      </c>
      <c r="S10" s="186">
        <f t="shared" si="1"/>
        <v>11</v>
      </c>
      <c r="T10" s="186">
        <f t="shared" si="1"/>
        <v>12</v>
      </c>
      <c r="U10" s="186">
        <f t="shared" si="1"/>
        <v>13</v>
      </c>
      <c r="V10" s="186">
        <f t="shared" si="1"/>
        <v>14</v>
      </c>
      <c r="W10" s="186">
        <f t="shared" si="1"/>
        <v>15</v>
      </c>
      <c r="X10" s="186">
        <f t="shared" si="1"/>
        <v>16</v>
      </c>
      <c r="Y10" s="186">
        <f t="shared" si="1"/>
        <v>17</v>
      </c>
      <c r="Z10" s="186">
        <f t="shared" si="1"/>
        <v>18</v>
      </c>
      <c r="AA10" s="186">
        <f t="shared" si="1"/>
        <v>19</v>
      </c>
      <c r="AB10" s="186">
        <f t="shared" si="1"/>
        <v>20</v>
      </c>
    </row>
    <row r="11" spans="1:28" x14ac:dyDescent="0.25">
      <c r="A11" s="12" t="s">
        <v>273</v>
      </c>
      <c r="B11" s="12">
        <v>2020</v>
      </c>
      <c r="C11" s="12">
        <f>B11+1</f>
        <v>2021</v>
      </c>
      <c r="D11" s="12">
        <f>C11+1</f>
        <v>2022</v>
      </c>
      <c r="E11" s="12">
        <f>D11+1</f>
        <v>2023</v>
      </c>
      <c r="F11" s="12">
        <f>E11+1</f>
        <v>2024</v>
      </c>
      <c r="G11" s="12">
        <f t="shared" ref="G11:Z11" si="2">F11+1</f>
        <v>2025</v>
      </c>
      <c r="H11" s="12">
        <f t="shared" si="2"/>
        <v>2026</v>
      </c>
      <c r="I11" s="12">
        <f t="shared" si="2"/>
        <v>2027</v>
      </c>
      <c r="J11" s="12">
        <f t="shared" si="2"/>
        <v>2028</v>
      </c>
      <c r="K11" s="12">
        <f t="shared" si="2"/>
        <v>2029</v>
      </c>
      <c r="L11" s="12">
        <f t="shared" si="2"/>
        <v>2030</v>
      </c>
      <c r="M11" s="12">
        <f t="shared" si="2"/>
        <v>2031</v>
      </c>
      <c r="N11" s="12">
        <f t="shared" si="2"/>
        <v>2032</v>
      </c>
      <c r="O11" s="12">
        <f t="shared" si="2"/>
        <v>2033</v>
      </c>
      <c r="P11" s="12">
        <f t="shared" si="2"/>
        <v>2034</v>
      </c>
      <c r="Q11" s="12">
        <f t="shared" si="2"/>
        <v>2035</v>
      </c>
      <c r="R11" s="12">
        <f t="shared" si="2"/>
        <v>2036</v>
      </c>
      <c r="S11" s="12">
        <f t="shared" si="2"/>
        <v>2037</v>
      </c>
      <c r="T11" s="12">
        <f t="shared" si="2"/>
        <v>2038</v>
      </c>
      <c r="U11" s="12">
        <f t="shared" si="2"/>
        <v>2039</v>
      </c>
      <c r="V11" s="12">
        <f t="shared" si="2"/>
        <v>2040</v>
      </c>
      <c r="W11" s="12">
        <f t="shared" si="2"/>
        <v>2041</v>
      </c>
      <c r="X11" s="12">
        <f t="shared" si="2"/>
        <v>2042</v>
      </c>
      <c r="Y11" s="12">
        <f t="shared" si="2"/>
        <v>2043</v>
      </c>
      <c r="Z11" s="12">
        <f t="shared" si="2"/>
        <v>2044</v>
      </c>
      <c r="AA11" s="12">
        <f>Z11+1</f>
        <v>2045</v>
      </c>
      <c r="AB11" s="12">
        <f>AA11+1</f>
        <v>2046</v>
      </c>
    </row>
    <row r="12" spans="1:28" ht="30" x14ac:dyDescent="0.25">
      <c r="A12" s="189" t="s">
        <v>398</v>
      </c>
      <c r="B12" s="181"/>
      <c r="C12" s="181"/>
      <c r="D12" s="181"/>
      <c r="E12" s="181"/>
      <c r="F12" s="181"/>
      <c r="G12" s="181"/>
      <c r="H12" s="181"/>
      <c r="I12" s="181">
        <f>24*12</f>
        <v>288</v>
      </c>
      <c r="J12" s="181">
        <f>I12*1.055</f>
        <v>303.83999999999997</v>
      </c>
      <c r="K12" s="272">
        <f t="shared" ref="K12:AB12" si="3">J12*1.055</f>
        <v>320.55119999999994</v>
      </c>
      <c r="L12" s="272">
        <f t="shared" si="3"/>
        <v>338.18151599999993</v>
      </c>
      <c r="M12" s="272">
        <f t="shared" si="3"/>
        <v>356.7814993799999</v>
      </c>
      <c r="N12" s="272">
        <f t="shared" si="3"/>
        <v>376.40448184589985</v>
      </c>
      <c r="O12" s="272">
        <f t="shared" si="3"/>
        <v>397.10672834742434</v>
      </c>
      <c r="P12" s="272">
        <f t="shared" si="3"/>
        <v>418.94759840653268</v>
      </c>
      <c r="Q12" s="272">
        <f t="shared" si="3"/>
        <v>441.98971631889196</v>
      </c>
      <c r="R12" s="272">
        <f t="shared" si="3"/>
        <v>466.29915071643097</v>
      </c>
      <c r="S12" s="272">
        <f t="shared" si="3"/>
        <v>491.94560400583464</v>
      </c>
      <c r="T12" s="272">
        <f t="shared" si="3"/>
        <v>519.00261222615552</v>
      </c>
      <c r="U12" s="272">
        <f t="shared" si="3"/>
        <v>547.547755898594</v>
      </c>
      <c r="V12" s="272">
        <f t="shared" si="3"/>
        <v>577.66288247301668</v>
      </c>
      <c r="W12" s="272">
        <f t="shared" si="3"/>
        <v>609.43434100903255</v>
      </c>
      <c r="X12" s="272">
        <f t="shared" si="3"/>
        <v>642.95322976452928</v>
      </c>
      <c r="Y12" s="272">
        <f t="shared" si="3"/>
        <v>678.31565740157839</v>
      </c>
      <c r="Z12" s="272">
        <f t="shared" si="3"/>
        <v>715.62301855866519</v>
      </c>
      <c r="AA12" s="272">
        <f t="shared" si="3"/>
        <v>754.98228457939172</v>
      </c>
      <c r="AB12" s="272">
        <f t="shared" si="3"/>
        <v>796.50631023125823</v>
      </c>
    </row>
    <row r="13" spans="1:28" x14ac:dyDescent="0.25">
      <c r="A13" s="189" t="s">
        <v>279</v>
      </c>
      <c r="B13" s="184">
        <v>0</v>
      </c>
      <c r="C13" s="184">
        <v>0</v>
      </c>
      <c r="D13" s="184">
        <v>0</v>
      </c>
      <c r="E13" s="184">
        <v>0</v>
      </c>
      <c r="F13" s="184">
        <v>0</v>
      </c>
      <c r="G13" s="184">
        <v>0</v>
      </c>
      <c r="H13" s="184">
        <v>0</v>
      </c>
      <c r="I13" s="245">
        <v>128</v>
      </c>
      <c r="J13" s="245">
        <v>128</v>
      </c>
      <c r="K13" s="245">
        <v>128</v>
      </c>
      <c r="L13" s="245">
        <v>128</v>
      </c>
      <c r="M13" s="245">
        <v>128</v>
      </c>
      <c r="N13" s="245">
        <v>128</v>
      </c>
      <c r="O13" s="245">
        <v>128</v>
      </c>
      <c r="P13" s="245">
        <v>128</v>
      </c>
      <c r="Q13" s="245">
        <v>128</v>
      </c>
      <c r="R13" s="245">
        <v>128</v>
      </c>
      <c r="S13" s="245">
        <v>128</v>
      </c>
      <c r="T13" s="245">
        <v>128</v>
      </c>
      <c r="U13" s="245">
        <v>128</v>
      </c>
      <c r="V13" s="245">
        <v>128</v>
      </c>
      <c r="W13" s="245">
        <v>128</v>
      </c>
      <c r="X13" s="245">
        <v>128</v>
      </c>
      <c r="Y13" s="245">
        <v>128</v>
      </c>
      <c r="Z13" s="245">
        <v>128</v>
      </c>
      <c r="AA13" s="245">
        <v>128</v>
      </c>
      <c r="AB13" s="245">
        <v>128</v>
      </c>
    </row>
    <row r="14" spans="1:28" ht="30" x14ac:dyDescent="0.25">
      <c r="A14" s="189" t="s">
        <v>396</v>
      </c>
      <c r="B14" s="181" t="s">
        <v>38</v>
      </c>
      <c r="C14" s="181" t="s">
        <v>38</v>
      </c>
      <c r="D14" s="181" t="s">
        <v>38</v>
      </c>
      <c r="E14" s="181" t="s">
        <v>38</v>
      </c>
      <c r="F14" s="181" t="s">
        <v>38</v>
      </c>
      <c r="G14" s="181" t="s">
        <v>38</v>
      </c>
      <c r="H14" s="181" t="s">
        <v>38</v>
      </c>
      <c r="I14" s="194">
        <f>108*12</f>
        <v>1296</v>
      </c>
      <c r="J14" s="194">
        <f>I14*1.055</f>
        <v>1367.28</v>
      </c>
      <c r="K14" s="194">
        <f t="shared" ref="K14:AB14" si="4">J14*1.055</f>
        <v>1442.4803999999999</v>
      </c>
      <c r="L14" s="194">
        <f t="shared" si="4"/>
        <v>1521.8168219999998</v>
      </c>
      <c r="M14" s="194">
        <f t="shared" si="4"/>
        <v>1605.5167472099997</v>
      </c>
      <c r="N14" s="194">
        <f t="shared" si="4"/>
        <v>1693.8201683065497</v>
      </c>
      <c r="O14" s="194">
        <f t="shared" si="4"/>
        <v>1786.9802775634098</v>
      </c>
      <c r="P14" s="194">
        <f t="shared" si="4"/>
        <v>1885.2641928293972</v>
      </c>
      <c r="Q14" s="194">
        <f t="shared" si="4"/>
        <v>1988.9537234350139</v>
      </c>
      <c r="R14" s="194">
        <f t="shared" si="4"/>
        <v>2098.3461782239397</v>
      </c>
      <c r="S14" s="194">
        <f t="shared" si="4"/>
        <v>2213.755218026256</v>
      </c>
      <c r="T14" s="194">
        <f t="shared" si="4"/>
        <v>2335.5117550177001</v>
      </c>
      <c r="U14" s="194">
        <f t="shared" si="4"/>
        <v>2463.9649015436735</v>
      </c>
      <c r="V14" s="194">
        <f t="shared" si="4"/>
        <v>2599.4829711285752</v>
      </c>
      <c r="W14" s="194">
        <f t="shared" si="4"/>
        <v>2742.4545345406468</v>
      </c>
      <c r="X14" s="194">
        <f t="shared" si="4"/>
        <v>2893.2895339403822</v>
      </c>
      <c r="Y14" s="194">
        <f t="shared" si="4"/>
        <v>3052.4204583071032</v>
      </c>
      <c r="Z14" s="194">
        <f t="shared" si="4"/>
        <v>3220.3035835139935</v>
      </c>
      <c r="AA14" s="194">
        <f t="shared" si="4"/>
        <v>3397.4202806072631</v>
      </c>
      <c r="AB14" s="194">
        <f t="shared" si="4"/>
        <v>3584.2783960406623</v>
      </c>
    </row>
    <row r="15" spans="1:28" x14ac:dyDescent="0.25">
      <c r="A15" s="189" t="s">
        <v>295</v>
      </c>
      <c r="B15" s="184">
        <v>0</v>
      </c>
      <c r="C15" s="184">
        <v>0</v>
      </c>
      <c r="D15" s="184">
        <v>0</v>
      </c>
      <c r="E15" s="184">
        <v>0</v>
      </c>
      <c r="F15" s="184">
        <v>0</v>
      </c>
      <c r="G15" s="184">
        <v>0</v>
      </c>
      <c r="H15" s="184">
        <v>0</v>
      </c>
      <c r="I15" s="245">
        <v>128</v>
      </c>
      <c r="J15" s="245">
        <v>128</v>
      </c>
      <c r="K15" s="245">
        <v>128</v>
      </c>
      <c r="L15" s="245">
        <v>128</v>
      </c>
      <c r="M15" s="245">
        <v>128</v>
      </c>
      <c r="N15" s="245">
        <v>128</v>
      </c>
      <c r="O15" s="245">
        <v>128</v>
      </c>
      <c r="P15" s="245">
        <v>128</v>
      </c>
      <c r="Q15" s="245">
        <v>128</v>
      </c>
      <c r="R15" s="245">
        <v>128</v>
      </c>
      <c r="S15" s="245">
        <v>128</v>
      </c>
      <c r="T15" s="245">
        <v>128</v>
      </c>
      <c r="U15" s="245">
        <v>128</v>
      </c>
      <c r="V15" s="245">
        <v>128</v>
      </c>
      <c r="W15" s="245">
        <v>128</v>
      </c>
      <c r="X15" s="245">
        <v>128</v>
      </c>
      <c r="Y15" s="245">
        <v>128</v>
      </c>
      <c r="Z15" s="245">
        <v>128</v>
      </c>
      <c r="AA15" s="245">
        <v>128</v>
      </c>
      <c r="AB15" s="245">
        <v>128</v>
      </c>
    </row>
    <row r="16" spans="1:28" x14ac:dyDescent="0.25">
      <c r="A16" s="189" t="s">
        <v>280</v>
      </c>
      <c r="B16" s="184">
        <v>0</v>
      </c>
      <c r="C16" s="184">
        <v>0</v>
      </c>
      <c r="D16" s="184">
        <v>0</v>
      </c>
      <c r="E16" s="184">
        <v>0</v>
      </c>
      <c r="F16" s="184">
        <v>0</v>
      </c>
      <c r="G16" s="184">
        <v>0</v>
      </c>
      <c r="H16" s="184">
        <v>0</v>
      </c>
      <c r="I16" s="184">
        <f>(I12*I13)+(I14*I15)</f>
        <v>202752</v>
      </c>
      <c r="J16" s="184">
        <f t="shared" ref="J16:AB16" si="5">(J12*J13)+(J14*J15)</f>
        <v>213903.35999999999</v>
      </c>
      <c r="K16" s="184">
        <f t="shared" si="5"/>
        <v>225668.04479999997</v>
      </c>
      <c r="L16" s="184">
        <f t="shared" si="5"/>
        <v>238079.78726399996</v>
      </c>
      <c r="M16" s="184">
        <f t="shared" si="5"/>
        <v>251174.17556351994</v>
      </c>
      <c r="N16" s="184">
        <f t="shared" si="5"/>
        <v>264988.75521951355</v>
      </c>
      <c r="O16" s="184">
        <f t="shared" si="5"/>
        <v>279563.13675658678</v>
      </c>
      <c r="P16" s="184">
        <f t="shared" si="5"/>
        <v>294939.10927819903</v>
      </c>
      <c r="Q16" s="184">
        <f t="shared" si="5"/>
        <v>311160.76028849994</v>
      </c>
      <c r="R16" s="184">
        <f t="shared" si="5"/>
        <v>328274.60210436746</v>
      </c>
      <c r="S16" s="184">
        <f t="shared" si="5"/>
        <v>346329.70522010757</v>
      </c>
      <c r="T16" s="184">
        <f t="shared" si="5"/>
        <v>365377.83900721354</v>
      </c>
      <c r="U16" s="184">
        <f t="shared" si="5"/>
        <v>385473.62015261024</v>
      </c>
      <c r="V16" s="184">
        <f t="shared" si="5"/>
        <v>406674.66926100373</v>
      </c>
      <c r="W16" s="184">
        <f t="shared" si="5"/>
        <v>429041.77607035893</v>
      </c>
      <c r="X16" s="184">
        <f t="shared" si="5"/>
        <v>452639.07375422865</v>
      </c>
      <c r="Y16" s="184">
        <f t="shared" si="5"/>
        <v>477534.22281071125</v>
      </c>
      <c r="Z16" s="184">
        <f t="shared" si="5"/>
        <v>503798.6050653003</v>
      </c>
      <c r="AA16" s="184">
        <f t="shared" si="5"/>
        <v>531507.52834389184</v>
      </c>
      <c r="AB16" s="184">
        <f t="shared" si="5"/>
        <v>560740.44240280578</v>
      </c>
    </row>
    <row r="17" spans="1:28" x14ac:dyDescent="0.25">
      <c r="A17" s="15" t="s">
        <v>66</v>
      </c>
      <c r="B17" s="191">
        <f t="shared" ref="B17:F17" si="6">B16*B6</f>
        <v>0</v>
      </c>
      <c r="C17" s="191">
        <f t="shared" si="6"/>
        <v>0</v>
      </c>
      <c r="D17" s="191">
        <f t="shared" si="6"/>
        <v>0</v>
      </c>
      <c r="E17" s="191">
        <f t="shared" si="6"/>
        <v>0</v>
      </c>
      <c r="F17" s="191">
        <f t="shared" si="6"/>
        <v>0</v>
      </c>
      <c r="G17" s="191">
        <f t="shared" ref="G17:H17" si="7">G16*G6</f>
        <v>0</v>
      </c>
      <c r="H17" s="191">
        <f t="shared" si="7"/>
        <v>0</v>
      </c>
      <c r="I17" s="191">
        <f t="shared" ref="I17:AB17" si="8">I16*I6</f>
        <v>126263.75566658461</v>
      </c>
      <c r="J17" s="191">
        <f t="shared" si="8"/>
        <v>124493.70301705305</v>
      </c>
      <c r="K17" s="191">
        <f t="shared" si="8"/>
        <v>122748.46418971117</v>
      </c>
      <c r="L17" s="191">
        <f t="shared" si="8"/>
        <v>121027.69132723859</v>
      </c>
      <c r="M17" s="191">
        <f t="shared" si="8"/>
        <v>119331.04144881932</v>
      </c>
      <c r="N17" s="191">
        <f t="shared" si="8"/>
        <v>117658.17638177983</v>
      </c>
      <c r="O17" s="191">
        <f t="shared" si="8"/>
        <v>116008.76269418477</v>
      </c>
      <c r="P17" s="191">
        <f t="shared" si="8"/>
        <v>114382.47162837844</v>
      </c>
      <c r="Q17" s="191">
        <f t="shared" si="8"/>
        <v>112778.97903545722</v>
      </c>
      <c r="R17" s="191">
        <f t="shared" si="8"/>
        <v>111197.96531066111</v>
      </c>
      <c r="S17" s="191">
        <f t="shared" si="8"/>
        <v>109639.11532967052</v>
      </c>
      <c r="T17" s="191">
        <f t="shared" si="8"/>
        <v>108102.11838579662</v>
      </c>
      <c r="U17" s="191">
        <f t="shared" si="8"/>
        <v>106586.6681280518</v>
      </c>
      <c r="V17" s="191">
        <f t="shared" si="8"/>
        <v>105092.46250008844</v>
      </c>
      <c r="W17" s="191">
        <f t="shared" si="8"/>
        <v>103619.20367999375</v>
      </c>
      <c r="X17" s="191">
        <f t="shared" si="8"/>
        <v>102166.59802092842</v>
      </c>
      <c r="Y17" s="191">
        <f t="shared" si="8"/>
        <v>100734.35599259763</v>
      </c>
      <c r="Z17" s="191">
        <f t="shared" si="8"/>
        <v>99322.192123542511</v>
      </c>
      <c r="AA17" s="191">
        <f t="shared" si="8"/>
        <v>97929.824944240507</v>
      </c>
      <c r="AB17" s="191">
        <f t="shared" si="8"/>
        <v>96556.97693100349</v>
      </c>
    </row>
    <row r="18" spans="1:28" x14ac:dyDescent="0.25">
      <c r="A18" s="15" t="s">
        <v>67</v>
      </c>
      <c r="B18" s="191">
        <f t="shared" ref="B18:F18" si="9">B16*B7</f>
        <v>0</v>
      </c>
      <c r="C18" s="191">
        <f t="shared" si="9"/>
        <v>0</v>
      </c>
      <c r="D18" s="191">
        <f t="shared" si="9"/>
        <v>0</v>
      </c>
      <c r="E18" s="191">
        <f t="shared" si="9"/>
        <v>0</v>
      </c>
      <c r="F18" s="191">
        <f t="shared" si="9"/>
        <v>0</v>
      </c>
      <c r="G18" s="191">
        <f t="shared" ref="G18:H18" si="10">G16*G7</f>
        <v>0</v>
      </c>
      <c r="H18" s="191">
        <f t="shared" si="10"/>
        <v>0</v>
      </c>
      <c r="I18" s="191">
        <f t="shared" ref="I18:AB18" si="11">I16*I7</f>
        <v>164855.93010788766</v>
      </c>
      <c r="J18" s="191">
        <f t="shared" si="11"/>
        <v>168857.28763477813</v>
      </c>
      <c r="K18" s="191">
        <f t="shared" si="11"/>
        <v>172955.7654899912</v>
      </c>
      <c r="L18" s="191">
        <f t="shared" si="11"/>
        <v>177153.72096304921</v>
      </c>
      <c r="M18" s="191">
        <f t="shared" si="11"/>
        <v>181453.56855923973</v>
      </c>
      <c r="N18" s="191">
        <f t="shared" si="11"/>
        <v>185857.78138834753</v>
      </c>
      <c r="O18" s="191">
        <f t="shared" si="11"/>
        <v>190368.89258709381</v>
      </c>
      <c r="P18" s="191">
        <f t="shared" si="11"/>
        <v>194989.49677610092</v>
      </c>
      <c r="Q18" s="191">
        <f t="shared" si="11"/>
        <v>199722.25155221982</v>
      </c>
      <c r="R18" s="191">
        <f t="shared" si="11"/>
        <v>204569.87901707957</v>
      </c>
      <c r="S18" s="191">
        <f t="shared" si="11"/>
        <v>209535.16734273679</v>
      </c>
      <c r="T18" s="191">
        <f t="shared" si="11"/>
        <v>214620.97237532752</v>
      </c>
      <c r="U18" s="191">
        <f t="shared" si="11"/>
        <v>219830.21927764127</v>
      </c>
      <c r="V18" s="191">
        <f t="shared" si="11"/>
        <v>225165.90421156457</v>
      </c>
      <c r="W18" s="191">
        <f t="shared" si="11"/>
        <v>230631.09606135983</v>
      </c>
      <c r="X18" s="191">
        <f t="shared" si="11"/>
        <v>236228.93819877147</v>
      </c>
      <c r="Y18" s="191">
        <f t="shared" si="11"/>
        <v>241962.65029097465</v>
      </c>
      <c r="Z18" s="191">
        <f t="shared" si="11"/>
        <v>247835.53015240608</v>
      </c>
      <c r="AA18" s="191">
        <f t="shared" si="11"/>
        <v>253850.95564154215</v>
      </c>
      <c r="AB18" s="191">
        <f t="shared" si="11"/>
        <v>260012.38660371545</v>
      </c>
    </row>
    <row r="20" spans="1:28" s="178" customFormat="1" x14ac:dyDescent="0.25">
      <c r="A20" s="187" t="s">
        <v>397</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row>
    <row r="30" spans="1:28" x14ac:dyDescent="0.25">
      <c r="G30" s="196"/>
    </row>
  </sheetData>
  <pageMargins left="0.7" right="0.7" top="0.75" bottom="0.75" header="0.3" footer="0.3"/>
  <pageSetup paperSize="3" scale="6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6D6B4-5885-4899-879F-AFA557236B49}">
  <dimension ref="A1:AD22"/>
  <sheetViews>
    <sheetView workbookViewId="0">
      <selection activeCell="K11" sqref="K11"/>
    </sheetView>
  </sheetViews>
  <sheetFormatPr defaultRowHeight="15" x14ac:dyDescent="0.25"/>
  <cols>
    <col min="1" max="1" width="28.28515625" customWidth="1"/>
    <col min="2" max="2" width="21.42578125" bestFit="1" customWidth="1"/>
    <col min="3" max="3" width="9.85546875" bestFit="1" customWidth="1"/>
    <col min="11" max="11" width="12.28515625" customWidth="1"/>
    <col min="12" max="12" width="10.140625" customWidth="1"/>
    <col min="13" max="13" width="10.28515625" customWidth="1"/>
    <col min="14" max="30" width="12.7109375" customWidth="1"/>
  </cols>
  <sheetData>
    <row r="1" spans="1:30" ht="23.25" x14ac:dyDescent="0.35">
      <c r="A1" s="102" t="s">
        <v>364</v>
      </c>
      <c r="B1" s="102"/>
      <c r="C1" s="55"/>
      <c r="D1" s="55"/>
      <c r="E1" s="55"/>
    </row>
    <row r="3" spans="1:30" s="186" customFormat="1" x14ac:dyDescent="0.25">
      <c r="A3" s="187"/>
    </row>
    <row r="4" spans="1:30" x14ac:dyDescent="0.25">
      <c r="A4" s="2"/>
      <c r="B4" s="2"/>
      <c r="C4" s="2"/>
      <c r="D4" s="5">
        <v>2020</v>
      </c>
      <c r="E4" s="5">
        <f t="shared" ref="E4:T5" si="0">D4+1</f>
        <v>2021</v>
      </c>
      <c r="F4" s="5">
        <f t="shared" si="0"/>
        <v>2022</v>
      </c>
      <c r="G4" s="5">
        <f t="shared" si="0"/>
        <v>2023</v>
      </c>
      <c r="H4" s="5">
        <f t="shared" si="0"/>
        <v>2024</v>
      </c>
      <c r="I4" s="5">
        <f t="shared" si="0"/>
        <v>2025</v>
      </c>
      <c r="J4" s="5">
        <f t="shared" si="0"/>
        <v>2026</v>
      </c>
      <c r="K4" s="5">
        <f t="shared" si="0"/>
        <v>2027</v>
      </c>
      <c r="L4" s="5">
        <f t="shared" si="0"/>
        <v>2028</v>
      </c>
      <c r="M4" s="5">
        <f t="shared" si="0"/>
        <v>2029</v>
      </c>
      <c r="N4" s="5">
        <f t="shared" si="0"/>
        <v>2030</v>
      </c>
      <c r="O4" s="5">
        <f t="shared" si="0"/>
        <v>2031</v>
      </c>
      <c r="P4" s="5">
        <f t="shared" si="0"/>
        <v>2032</v>
      </c>
      <c r="Q4" s="5">
        <f t="shared" si="0"/>
        <v>2033</v>
      </c>
      <c r="R4" s="5">
        <f t="shared" si="0"/>
        <v>2034</v>
      </c>
      <c r="S4" s="5">
        <f t="shared" si="0"/>
        <v>2035</v>
      </c>
      <c r="T4" s="5">
        <f t="shared" si="0"/>
        <v>2036</v>
      </c>
      <c r="U4" s="5">
        <f t="shared" ref="U4:AD5" si="1">T4+1</f>
        <v>2037</v>
      </c>
      <c r="V4" s="5">
        <f t="shared" si="1"/>
        <v>2038</v>
      </c>
      <c r="W4" s="5">
        <f t="shared" si="1"/>
        <v>2039</v>
      </c>
      <c r="X4" s="5">
        <f t="shared" si="1"/>
        <v>2040</v>
      </c>
      <c r="Y4" s="5">
        <f t="shared" si="1"/>
        <v>2041</v>
      </c>
      <c r="Z4" s="5">
        <f t="shared" si="1"/>
        <v>2042</v>
      </c>
      <c r="AA4" s="5">
        <f t="shared" si="1"/>
        <v>2043</v>
      </c>
      <c r="AB4" s="5">
        <f t="shared" si="1"/>
        <v>2044</v>
      </c>
      <c r="AC4" s="5">
        <f t="shared" si="1"/>
        <v>2045</v>
      </c>
      <c r="AD4" s="5">
        <f t="shared" si="1"/>
        <v>2046</v>
      </c>
    </row>
    <row r="5" spans="1:30" x14ac:dyDescent="0.25">
      <c r="A5" s="57" t="s">
        <v>57</v>
      </c>
      <c r="B5" s="57"/>
      <c r="C5" s="57"/>
      <c r="D5" s="1">
        <v>0</v>
      </c>
      <c r="E5" s="1">
        <v>0</v>
      </c>
      <c r="F5" s="1">
        <v>0</v>
      </c>
      <c r="G5" s="1">
        <v>0</v>
      </c>
      <c r="H5" s="1">
        <v>0</v>
      </c>
      <c r="I5" s="1">
        <v>0</v>
      </c>
      <c r="J5" s="1">
        <v>0</v>
      </c>
      <c r="K5" s="1">
        <v>1</v>
      </c>
      <c r="L5" s="1">
        <f>K5+1</f>
        <v>2</v>
      </c>
      <c r="M5" s="1">
        <f t="shared" si="0"/>
        <v>3</v>
      </c>
      <c r="N5" s="1">
        <f t="shared" si="0"/>
        <v>4</v>
      </c>
      <c r="O5" s="1">
        <f t="shared" si="0"/>
        <v>5</v>
      </c>
      <c r="P5" s="1">
        <f t="shared" si="0"/>
        <v>6</v>
      </c>
      <c r="Q5" s="1">
        <f t="shared" si="0"/>
        <v>7</v>
      </c>
      <c r="R5" s="1">
        <f t="shared" si="0"/>
        <v>8</v>
      </c>
      <c r="S5" s="1">
        <f t="shared" si="0"/>
        <v>9</v>
      </c>
      <c r="T5" s="1">
        <f t="shared" si="0"/>
        <v>10</v>
      </c>
      <c r="U5" s="1">
        <f t="shared" si="1"/>
        <v>11</v>
      </c>
      <c r="V5" s="1">
        <f t="shared" si="1"/>
        <v>12</v>
      </c>
      <c r="W5" s="1">
        <f t="shared" si="1"/>
        <v>13</v>
      </c>
      <c r="X5" s="1">
        <f t="shared" si="1"/>
        <v>14</v>
      </c>
      <c r="Y5" s="1">
        <f t="shared" si="1"/>
        <v>15</v>
      </c>
      <c r="Z5" s="1">
        <f t="shared" si="1"/>
        <v>16</v>
      </c>
      <c r="AA5" s="1">
        <f t="shared" si="1"/>
        <v>17</v>
      </c>
      <c r="AB5" s="1">
        <f t="shared" si="1"/>
        <v>18</v>
      </c>
      <c r="AC5" s="1">
        <f t="shared" si="1"/>
        <v>19</v>
      </c>
      <c r="AD5" s="1">
        <f t="shared" si="1"/>
        <v>20</v>
      </c>
    </row>
    <row r="6" spans="1:30" x14ac:dyDescent="0.25">
      <c r="A6" s="57" t="s">
        <v>293</v>
      </c>
      <c r="B6" s="57"/>
      <c r="C6" s="57"/>
      <c r="D6" s="51">
        <v>1</v>
      </c>
      <c r="E6" s="51">
        <v>0.93457943925233644</v>
      </c>
      <c r="F6" s="51">
        <v>0.87343872827321156</v>
      </c>
      <c r="G6" s="51">
        <v>0.81629787689085187</v>
      </c>
      <c r="H6" s="51">
        <v>0.7628952120475252</v>
      </c>
      <c r="I6" s="51">
        <v>0.71298617948366838</v>
      </c>
      <c r="J6" s="51">
        <v>0.66634222381651254</v>
      </c>
      <c r="K6" s="51">
        <v>0.62274974188459109</v>
      </c>
      <c r="L6" s="51">
        <v>0.5820091045650384</v>
      </c>
      <c r="M6" s="51">
        <v>0.54393374258414806</v>
      </c>
      <c r="N6" s="51">
        <v>0.5083492921347178</v>
      </c>
      <c r="O6" s="51">
        <v>0.47509279638758667</v>
      </c>
      <c r="P6" s="51">
        <v>0.44401195924073528</v>
      </c>
      <c r="Q6" s="51">
        <v>0.41496444788853759</v>
      </c>
      <c r="R6" s="51">
        <v>0.3878172410173249</v>
      </c>
      <c r="S6" s="51">
        <v>0.36244601964235967</v>
      </c>
      <c r="T6" s="51">
        <v>0.33873459779659787</v>
      </c>
      <c r="U6" s="51">
        <v>0.31657439046411018</v>
      </c>
      <c r="V6" s="51">
        <v>0.29586391632159825</v>
      </c>
      <c r="W6" s="51">
        <v>0.27650833301083949</v>
      </c>
      <c r="X6" s="51">
        <v>0.2584190028138687</v>
      </c>
      <c r="Y6" s="51">
        <v>0.24151308674193336</v>
      </c>
      <c r="Z6" s="51">
        <v>0.22571316517937698</v>
      </c>
      <c r="AA6" s="51">
        <v>0.21094688334521211</v>
      </c>
      <c r="AB6" s="51">
        <v>0.19714661994879637</v>
      </c>
      <c r="AC6" s="51">
        <v>0.18424917752223957</v>
      </c>
      <c r="AD6" s="51">
        <v>0.17219549301143888</v>
      </c>
    </row>
    <row r="7" spans="1:30" x14ac:dyDescent="0.25">
      <c r="A7" s="57" t="s">
        <v>294</v>
      </c>
      <c r="B7" s="57"/>
      <c r="C7" s="57"/>
      <c r="D7" s="51">
        <v>1</v>
      </c>
      <c r="E7" s="51">
        <v>0.970873786407767</v>
      </c>
      <c r="F7" s="51">
        <v>0.94259590913375435</v>
      </c>
      <c r="G7" s="51">
        <v>0.91514165935315961</v>
      </c>
      <c r="H7" s="51">
        <v>0.888487047915689</v>
      </c>
      <c r="I7" s="51">
        <v>0.86260878438416411</v>
      </c>
      <c r="J7" s="51">
        <v>0.83748425668365445</v>
      </c>
      <c r="K7" s="51">
        <v>0.81309151134335378</v>
      </c>
      <c r="L7" s="51">
        <v>0.78940923431393573</v>
      </c>
      <c r="M7" s="51">
        <v>0.76641673234362695</v>
      </c>
      <c r="N7" s="51">
        <v>0.74409391489672516</v>
      </c>
      <c r="O7" s="51">
        <v>0.72242127659876232</v>
      </c>
      <c r="P7" s="51">
        <v>0.70137988019297326</v>
      </c>
      <c r="Q7" s="51">
        <v>0.68095133999317792</v>
      </c>
      <c r="R7" s="51">
        <v>0.66111780581861923</v>
      </c>
      <c r="S7" s="51">
        <v>0.64186194739671765</v>
      </c>
      <c r="T7" s="51">
        <v>0.62316693922011435</v>
      </c>
      <c r="U7" s="51">
        <v>0.60501644584477121</v>
      </c>
      <c r="V7" s="51">
        <v>0.5873946076162827</v>
      </c>
      <c r="W7" s="51">
        <v>0.57028602681192497</v>
      </c>
      <c r="X7" s="51">
        <v>0.55367575418633497</v>
      </c>
      <c r="Y7" s="51">
        <v>0.5375492759090631</v>
      </c>
      <c r="Z7" s="51">
        <v>0.52189250088258554</v>
      </c>
      <c r="AA7" s="51">
        <v>0.50669174842969467</v>
      </c>
      <c r="AB7" s="51">
        <v>0.49193373633950943</v>
      </c>
      <c r="AC7" s="51">
        <v>0.47760556926165965</v>
      </c>
      <c r="AD7" s="51">
        <v>0.46369472743850448</v>
      </c>
    </row>
    <row r="8" spans="1:30" x14ac:dyDescent="0.25">
      <c r="A8" s="9"/>
      <c r="B8" s="7"/>
      <c r="C8" s="8"/>
      <c r="D8" s="11"/>
      <c r="E8" s="11"/>
    </row>
    <row r="9" spans="1:30" x14ac:dyDescent="0.25">
      <c r="D9" s="68"/>
      <c r="E9" s="68"/>
    </row>
    <row r="10" spans="1:30" x14ac:dyDescent="0.25">
      <c r="A10" s="12" t="s">
        <v>388</v>
      </c>
      <c r="B10" s="3" t="s">
        <v>5</v>
      </c>
      <c r="C10" s="4" t="s">
        <v>6</v>
      </c>
      <c r="D10" s="5">
        <v>2020</v>
      </c>
      <c r="E10" s="5">
        <f t="shared" ref="E10:AD10" si="2">D10+1</f>
        <v>2021</v>
      </c>
      <c r="F10" s="5">
        <f t="shared" si="2"/>
        <v>2022</v>
      </c>
      <c r="G10" s="5">
        <f t="shared" si="2"/>
        <v>2023</v>
      </c>
      <c r="H10" s="5">
        <f t="shared" si="2"/>
        <v>2024</v>
      </c>
      <c r="I10" s="5">
        <f t="shared" si="2"/>
        <v>2025</v>
      </c>
      <c r="J10" s="5">
        <f t="shared" si="2"/>
        <v>2026</v>
      </c>
      <c r="K10" s="5">
        <f t="shared" si="2"/>
        <v>2027</v>
      </c>
      <c r="L10" s="5">
        <f t="shared" si="2"/>
        <v>2028</v>
      </c>
      <c r="M10" s="5">
        <f t="shared" si="2"/>
        <v>2029</v>
      </c>
      <c r="N10" s="5">
        <f t="shared" si="2"/>
        <v>2030</v>
      </c>
      <c r="O10" s="5">
        <f t="shared" si="2"/>
        <v>2031</v>
      </c>
      <c r="P10" s="5">
        <f t="shared" si="2"/>
        <v>2032</v>
      </c>
      <c r="Q10" s="5">
        <f t="shared" si="2"/>
        <v>2033</v>
      </c>
      <c r="R10" s="5">
        <f t="shared" si="2"/>
        <v>2034</v>
      </c>
      <c r="S10" s="5">
        <f t="shared" si="2"/>
        <v>2035</v>
      </c>
      <c r="T10" s="5">
        <f t="shared" si="2"/>
        <v>2036</v>
      </c>
      <c r="U10" s="5">
        <f t="shared" si="2"/>
        <v>2037</v>
      </c>
      <c r="V10" s="5">
        <f t="shared" si="2"/>
        <v>2038</v>
      </c>
      <c r="W10" s="5">
        <f t="shared" si="2"/>
        <v>2039</v>
      </c>
      <c r="X10" s="5">
        <f t="shared" si="2"/>
        <v>2040</v>
      </c>
      <c r="Y10" s="5">
        <f t="shared" si="2"/>
        <v>2041</v>
      </c>
      <c r="Z10" s="5">
        <f t="shared" si="2"/>
        <v>2042</v>
      </c>
      <c r="AA10" s="5">
        <f t="shared" si="2"/>
        <v>2043</v>
      </c>
      <c r="AB10" s="5">
        <f t="shared" si="2"/>
        <v>2044</v>
      </c>
      <c r="AC10" s="5">
        <f t="shared" si="2"/>
        <v>2045</v>
      </c>
      <c r="AD10" s="5">
        <f t="shared" si="2"/>
        <v>2046</v>
      </c>
    </row>
    <row r="11" spans="1:30" x14ac:dyDescent="0.25">
      <c r="A11" t="s">
        <v>389</v>
      </c>
      <c r="B11" s="66"/>
      <c r="C11" s="63"/>
      <c r="D11" s="64">
        <f>'notes info'!M23*269</f>
        <v>29052</v>
      </c>
      <c r="E11" s="248">
        <f>D11*1.055</f>
        <v>30649.859999999997</v>
      </c>
      <c r="F11" s="248">
        <f t="shared" ref="F11:AD11" si="3">E11*1.055</f>
        <v>32335.602299999995</v>
      </c>
      <c r="G11" s="248">
        <f t="shared" si="3"/>
        <v>34114.060426499993</v>
      </c>
      <c r="H11" s="248">
        <f t="shared" si="3"/>
        <v>35990.333749957492</v>
      </c>
      <c r="I11" s="248">
        <f t="shared" si="3"/>
        <v>37969.802106205148</v>
      </c>
      <c r="J11" s="248">
        <f t="shared" si="3"/>
        <v>40058.141222046426</v>
      </c>
      <c r="K11" s="248">
        <f t="shared" si="3"/>
        <v>42261.338989258977</v>
      </c>
      <c r="L11" s="248">
        <f t="shared" si="3"/>
        <v>44585.712633668219</v>
      </c>
      <c r="M11" s="248">
        <f t="shared" si="3"/>
        <v>47037.926828519972</v>
      </c>
      <c r="N11" s="248">
        <f t="shared" si="3"/>
        <v>49625.012804088568</v>
      </c>
      <c r="O11" s="248">
        <f t="shared" si="3"/>
        <v>52354.388508313437</v>
      </c>
      <c r="P11" s="248">
        <f t="shared" si="3"/>
        <v>55233.879876270672</v>
      </c>
      <c r="Q11" s="248">
        <f t="shared" si="3"/>
        <v>58271.743269465558</v>
      </c>
      <c r="R11" s="248">
        <f t="shared" si="3"/>
        <v>61476.689149286161</v>
      </c>
      <c r="S11" s="248">
        <f t="shared" si="3"/>
        <v>64857.907052496899</v>
      </c>
      <c r="T11" s="248">
        <f t="shared" si="3"/>
        <v>68425.091940384227</v>
      </c>
      <c r="U11" s="248">
        <f t="shared" si="3"/>
        <v>72188.471997105356</v>
      </c>
      <c r="V11" s="248">
        <f t="shared" si="3"/>
        <v>76158.837956946139</v>
      </c>
      <c r="W11" s="248">
        <f t="shared" si="3"/>
        <v>80347.57404457817</v>
      </c>
      <c r="X11" s="248">
        <f t="shared" si="3"/>
        <v>84766.690617029963</v>
      </c>
      <c r="Y11" s="248">
        <f t="shared" si="3"/>
        <v>89428.858600966603</v>
      </c>
      <c r="Z11" s="248">
        <f t="shared" si="3"/>
        <v>94347.445824019756</v>
      </c>
      <c r="AA11" s="248">
        <f t="shared" si="3"/>
        <v>99536.555344340843</v>
      </c>
      <c r="AB11" s="248">
        <f t="shared" si="3"/>
        <v>105011.06588827958</v>
      </c>
      <c r="AC11" s="248">
        <f t="shared" si="3"/>
        <v>110786.67451213495</v>
      </c>
      <c r="AD11" s="248">
        <f t="shared" si="3"/>
        <v>116879.94161030237</v>
      </c>
    </row>
    <row r="12" spans="1:30" ht="45" x14ac:dyDescent="0.25">
      <c r="A12" s="276" t="s">
        <v>394</v>
      </c>
      <c r="B12" s="247">
        <v>0.1</v>
      </c>
      <c r="C12" s="247">
        <f>B12*15</f>
        <v>1.5</v>
      </c>
      <c r="D12" s="249"/>
      <c r="E12" s="249"/>
      <c r="F12" s="249"/>
      <c r="G12" s="249"/>
      <c r="H12" s="249"/>
      <c r="I12" s="249"/>
      <c r="J12" s="249"/>
      <c r="K12" s="249">
        <f>C12</f>
        <v>1.5</v>
      </c>
      <c r="L12" s="249">
        <f>C12</f>
        <v>1.5</v>
      </c>
      <c r="M12" s="249">
        <f>C12</f>
        <v>1.5</v>
      </c>
      <c r="N12" s="249">
        <f>C12</f>
        <v>1.5</v>
      </c>
      <c r="O12" s="249">
        <f>C12</f>
        <v>1.5</v>
      </c>
      <c r="P12" s="249">
        <f>C12</f>
        <v>1.5</v>
      </c>
      <c r="Q12" s="249">
        <f>C12</f>
        <v>1.5</v>
      </c>
      <c r="R12" s="249">
        <f>C12</f>
        <v>1.5</v>
      </c>
      <c r="S12" s="249">
        <f>C12</f>
        <v>1.5</v>
      </c>
      <c r="T12" s="249">
        <f>C12</f>
        <v>1.5</v>
      </c>
      <c r="U12" s="249">
        <f>C12</f>
        <v>1.5</v>
      </c>
      <c r="V12" s="249">
        <f>C12</f>
        <v>1.5</v>
      </c>
      <c r="W12" s="249">
        <f>C12</f>
        <v>1.5</v>
      </c>
      <c r="X12" s="249">
        <f>C12</f>
        <v>1.5</v>
      </c>
      <c r="Y12" s="249">
        <f>C12</f>
        <v>1.5</v>
      </c>
      <c r="Z12" s="249">
        <f>C12</f>
        <v>1.5</v>
      </c>
      <c r="AA12" s="249">
        <f>C12</f>
        <v>1.5</v>
      </c>
      <c r="AB12" s="249">
        <f>C12</f>
        <v>1.5</v>
      </c>
      <c r="AC12" s="249">
        <f>C12</f>
        <v>1.5</v>
      </c>
      <c r="AD12" s="249">
        <f>C12</f>
        <v>1.5</v>
      </c>
    </row>
    <row r="13" spans="1:30" x14ac:dyDescent="0.25">
      <c r="A13" t="s">
        <v>383</v>
      </c>
      <c r="B13" s="61"/>
      <c r="C13" s="8">
        <v>0.25</v>
      </c>
      <c r="D13" s="64"/>
      <c r="E13" s="64"/>
      <c r="K13">
        <v>0.25</v>
      </c>
      <c r="L13">
        <v>0.25</v>
      </c>
      <c r="M13">
        <v>0.25</v>
      </c>
      <c r="N13">
        <v>0.25</v>
      </c>
      <c r="O13">
        <v>0.25</v>
      </c>
      <c r="P13">
        <v>0.25</v>
      </c>
      <c r="Q13">
        <v>0.25</v>
      </c>
      <c r="R13">
        <v>0.25</v>
      </c>
      <c r="S13">
        <v>0.25</v>
      </c>
      <c r="T13">
        <v>0.25</v>
      </c>
      <c r="U13">
        <v>0.25</v>
      </c>
      <c r="V13">
        <v>0.25</v>
      </c>
      <c r="W13">
        <v>0.25</v>
      </c>
      <c r="X13">
        <v>0.25</v>
      </c>
      <c r="Y13">
        <v>0.25</v>
      </c>
      <c r="Z13">
        <v>0.25</v>
      </c>
      <c r="AA13">
        <v>0.25</v>
      </c>
      <c r="AB13">
        <v>0.25</v>
      </c>
      <c r="AC13">
        <v>0.25</v>
      </c>
      <c r="AD13">
        <v>0.25</v>
      </c>
    </row>
    <row r="14" spans="1:30" x14ac:dyDescent="0.25">
      <c r="A14" s="9" t="s">
        <v>376</v>
      </c>
      <c r="C14" s="68"/>
      <c r="D14" s="53">
        <f>D11*D12</f>
        <v>0</v>
      </c>
      <c r="E14" s="53">
        <f t="shared" ref="E14:J14" si="4">E11*E12</f>
        <v>0</v>
      </c>
      <c r="F14" s="53">
        <f t="shared" si="4"/>
        <v>0</v>
      </c>
      <c r="G14" s="53">
        <f t="shared" si="4"/>
        <v>0</v>
      </c>
      <c r="H14" s="53">
        <f t="shared" si="4"/>
        <v>0</v>
      </c>
      <c r="I14" s="53">
        <f t="shared" si="4"/>
        <v>0</v>
      </c>
      <c r="J14" s="53">
        <f t="shared" si="4"/>
        <v>0</v>
      </c>
      <c r="K14" s="53">
        <f>K12*K11*K13</f>
        <v>15848.002120972116</v>
      </c>
      <c r="L14" s="53">
        <f t="shared" ref="L14:AD14" si="5">L12*L11*L13</f>
        <v>16719.642237625583</v>
      </c>
      <c r="M14" s="53">
        <f t="shared" si="5"/>
        <v>17639.222560694991</v>
      </c>
      <c r="N14" s="53">
        <f t="shared" si="5"/>
        <v>18609.379801533214</v>
      </c>
      <c r="O14" s="53">
        <f t="shared" si="5"/>
        <v>19632.895690617537</v>
      </c>
      <c r="P14" s="53">
        <f t="shared" si="5"/>
        <v>20712.704953601504</v>
      </c>
      <c r="Q14" s="53">
        <f t="shared" si="5"/>
        <v>21851.903726049582</v>
      </c>
      <c r="R14" s="53">
        <f t="shared" si="5"/>
        <v>23053.758430982311</v>
      </c>
      <c r="S14" s="53">
        <f t="shared" si="5"/>
        <v>24321.715144686335</v>
      </c>
      <c r="T14" s="53">
        <f t="shared" si="5"/>
        <v>25659.409477644083</v>
      </c>
      <c r="U14" s="53">
        <f t="shared" si="5"/>
        <v>27070.67699891451</v>
      </c>
      <c r="V14" s="53">
        <f t="shared" si="5"/>
        <v>28559.564233854802</v>
      </c>
      <c r="W14" s="53">
        <f t="shared" si="5"/>
        <v>30130.340266716812</v>
      </c>
      <c r="X14" s="53">
        <f t="shared" si="5"/>
        <v>31787.508981386236</v>
      </c>
      <c r="Y14" s="53">
        <f t="shared" si="5"/>
        <v>33535.821975362473</v>
      </c>
      <c r="Z14" s="53">
        <f t="shared" si="5"/>
        <v>35380.292184007412</v>
      </c>
      <c r="AA14" s="53">
        <f t="shared" si="5"/>
        <v>37326.208254127814</v>
      </c>
      <c r="AB14" s="53">
        <f t="shared" si="5"/>
        <v>39379.149708104844</v>
      </c>
      <c r="AC14" s="53">
        <f t="shared" si="5"/>
        <v>41545.002942050603</v>
      </c>
      <c r="AD14" s="53">
        <f t="shared" si="5"/>
        <v>43829.978103863388</v>
      </c>
    </row>
    <row r="16" spans="1:30" x14ac:dyDescent="0.25">
      <c r="A16" s="12"/>
      <c r="B16" s="3" t="s">
        <v>5</v>
      </c>
      <c r="C16" s="4" t="s">
        <v>6</v>
      </c>
      <c r="D16" s="5">
        <v>2020</v>
      </c>
      <c r="E16" s="5">
        <f t="shared" ref="E16:AD16" si="6">D16+1</f>
        <v>2021</v>
      </c>
      <c r="F16" s="5">
        <f t="shared" si="6"/>
        <v>2022</v>
      </c>
      <c r="G16" s="5">
        <f t="shared" si="6"/>
        <v>2023</v>
      </c>
      <c r="H16" s="5">
        <f t="shared" si="6"/>
        <v>2024</v>
      </c>
      <c r="I16" s="5">
        <f t="shared" si="6"/>
        <v>2025</v>
      </c>
      <c r="J16" s="5">
        <f t="shared" si="6"/>
        <v>2026</v>
      </c>
      <c r="K16" s="5">
        <f t="shared" si="6"/>
        <v>2027</v>
      </c>
      <c r="L16" s="5">
        <f t="shared" si="6"/>
        <v>2028</v>
      </c>
      <c r="M16" s="5">
        <f t="shared" si="6"/>
        <v>2029</v>
      </c>
      <c r="N16" s="5">
        <f t="shared" si="6"/>
        <v>2030</v>
      </c>
      <c r="O16" s="5">
        <f t="shared" si="6"/>
        <v>2031</v>
      </c>
      <c r="P16" s="5">
        <f t="shared" si="6"/>
        <v>2032</v>
      </c>
      <c r="Q16" s="5">
        <f t="shared" si="6"/>
        <v>2033</v>
      </c>
      <c r="R16" s="5">
        <f t="shared" si="6"/>
        <v>2034</v>
      </c>
      <c r="S16" s="5">
        <f t="shared" si="6"/>
        <v>2035</v>
      </c>
      <c r="T16" s="5">
        <f t="shared" si="6"/>
        <v>2036</v>
      </c>
      <c r="U16" s="5">
        <f t="shared" si="6"/>
        <v>2037</v>
      </c>
      <c r="V16" s="5">
        <f t="shared" si="6"/>
        <v>2038</v>
      </c>
      <c r="W16" s="5">
        <f t="shared" si="6"/>
        <v>2039</v>
      </c>
      <c r="X16" s="5">
        <f t="shared" si="6"/>
        <v>2040</v>
      </c>
      <c r="Y16" s="5">
        <f t="shared" si="6"/>
        <v>2041</v>
      </c>
      <c r="Z16" s="5">
        <f t="shared" si="6"/>
        <v>2042</v>
      </c>
      <c r="AA16" s="5">
        <f t="shared" si="6"/>
        <v>2043</v>
      </c>
      <c r="AB16" s="5">
        <f t="shared" si="6"/>
        <v>2044</v>
      </c>
      <c r="AC16" s="5">
        <f t="shared" si="6"/>
        <v>2045</v>
      </c>
      <c r="AD16" s="5">
        <f t="shared" si="6"/>
        <v>2046</v>
      </c>
    </row>
    <row r="17" spans="1:30" x14ac:dyDescent="0.25">
      <c r="A17" s="15" t="s">
        <v>377</v>
      </c>
      <c r="C17" s="68"/>
      <c r="D17" s="53"/>
      <c r="E17" s="53"/>
      <c r="F17" s="53"/>
      <c r="G17" s="53"/>
      <c r="H17" s="53"/>
      <c r="I17" s="53"/>
      <c r="J17" s="53">
        <f>J14</f>
        <v>0</v>
      </c>
      <c r="K17" s="53">
        <f>K14</f>
        <v>15848.002120972116</v>
      </c>
      <c r="L17" s="53">
        <f>L14</f>
        <v>16719.642237625583</v>
      </c>
      <c r="M17" s="53">
        <f t="shared" ref="M17:AD17" si="7">M14</f>
        <v>17639.222560694991</v>
      </c>
      <c r="N17" s="53">
        <f t="shared" si="7"/>
        <v>18609.379801533214</v>
      </c>
      <c r="O17" s="53">
        <f t="shared" si="7"/>
        <v>19632.895690617537</v>
      </c>
      <c r="P17" s="53">
        <f t="shared" si="7"/>
        <v>20712.704953601504</v>
      </c>
      <c r="Q17" s="53">
        <f t="shared" si="7"/>
        <v>21851.903726049582</v>
      </c>
      <c r="R17" s="53">
        <f t="shared" si="7"/>
        <v>23053.758430982311</v>
      </c>
      <c r="S17" s="53">
        <f t="shared" si="7"/>
        <v>24321.715144686335</v>
      </c>
      <c r="T17" s="53">
        <f t="shared" si="7"/>
        <v>25659.409477644083</v>
      </c>
      <c r="U17" s="53">
        <f t="shared" si="7"/>
        <v>27070.67699891451</v>
      </c>
      <c r="V17" s="53">
        <f t="shared" si="7"/>
        <v>28559.564233854802</v>
      </c>
      <c r="W17" s="53">
        <f t="shared" si="7"/>
        <v>30130.340266716812</v>
      </c>
      <c r="X17" s="53">
        <f t="shared" si="7"/>
        <v>31787.508981386236</v>
      </c>
      <c r="Y17" s="53">
        <f t="shared" si="7"/>
        <v>33535.821975362473</v>
      </c>
      <c r="Z17" s="53">
        <f t="shared" si="7"/>
        <v>35380.292184007412</v>
      </c>
      <c r="AA17" s="53">
        <f t="shared" si="7"/>
        <v>37326.208254127814</v>
      </c>
      <c r="AB17" s="53">
        <f t="shared" si="7"/>
        <v>39379.149708104844</v>
      </c>
      <c r="AC17" s="53">
        <f t="shared" si="7"/>
        <v>41545.002942050603</v>
      </c>
      <c r="AD17" s="53">
        <f t="shared" si="7"/>
        <v>43829.978103863388</v>
      </c>
    </row>
    <row r="18" spans="1:30" x14ac:dyDescent="0.25">
      <c r="A18" s="15" t="s">
        <v>378</v>
      </c>
      <c r="D18" s="53">
        <f t="shared" ref="D18:AD18" si="8">D17*D6</f>
        <v>0</v>
      </c>
      <c r="E18" s="53">
        <f t="shared" si="8"/>
        <v>0</v>
      </c>
      <c r="F18" s="53">
        <f t="shared" si="8"/>
        <v>0</v>
      </c>
      <c r="G18" s="53">
        <f t="shared" si="8"/>
        <v>0</v>
      </c>
      <c r="H18" s="53">
        <f t="shared" si="8"/>
        <v>0</v>
      </c>
      <c r="I18" s="53">
        <f t="shared" si="8"/>
        <v>0</v>
      </c>
      <c r="J18" s="53">
        <f t="shared" si="8"/>
        <v>0</v>
      </c>
      <c r="K18" s="53">
        <f t="shared" si="8"/>
        <v>9869.3392302218381</v>
      </c>
      <c r="L18" s="53">
        <f t="shared" si="8"/>
        <v>9730.9840073682608</v>
      </c>
      <c r="M18" s="53">
        <f t="shared" si="8"/>
        <v>9594.5683437135667</v>
      </c>
      <c r="N18" s="53">
        <f t="shared" si="8"/>
        <v>9460.0650491755241</v>
      </c>
      <c r="O18" s="53">
        <f t="shared" si="8"/>
        <v>9327.4473148412853</v>
      </c>
      <c r="P18" s="53">
        <f t="shared" si="8"/>
        <v>9196.6887076238872</v>
      </c>
      <c r="Q18" s="53">
        <f t="shared" si="8"/>
        <v>9067.7631649936429</v>
      </c>
      <c r="R18" s="53">
        <f t="shared" si="8"/>
        <v>8940.6449897834518</v>
      </c>
      <c r="S18" s="53">
        <f t="shared" si="8"/>
        <v>8815.3088450668602</v>
      </c>
      <c r="T18" s="53">
        <f t="shared" si="8"/>
        <v>8691.7297491079808</v>
      </c>
      <c r="U18" s="53">
        <f t="shared" si="8"/>
        <v>8569.8830703821677</v>
      </c>
      <c r="V18" s="53">
        <f t="shared" si="8"/>
        <v>8449.7445226665277</v>
      </c>
      <c r="W18" s="53">
        <f t="shared" si="8"/>
        <v>8331.290160199238</v>
      </c>
      <c r="X18" s="53">
        <f t="shared" si="8"/>
        <v>8214.4963729067258</v>
      </c>
      <c r="Y18" s="53">
        <f t="shared" si="8"/>
        <v>8099.3398816977515</v>
      </c>
      <c r="Z18" s="53">
        <f t="shared" si="8"/>
        <v>7985.797733823485</v>
      </c>
      <c r="AA18" s="53">
        <f t="shared" si="8"/>
        <v>7873.8472983025931</v>
      </c>
      <c r="AB18" s="53">
        <f t="shared" si="8"/>
        <v>7763.4662614105009</v>
      </c>
      <c r="AC18" s="53">
        <f t="shared" si="8"/>
        <v>7654.6326222318467</v>
      </c>
      <c r="AD18" s="53">
        <f t="shared" si="8"/>
        <v>7547.3246882753274</v>
      </c>
    </row>
    <row r="19" spans="1:30" x14ac:dyDescent="0.25">
      <c r="A19" s="15" t="s">
        <v>67</v>
      </c>
      <c r="D19" s="53">
        <f t="shared" ref="D19:AD19" si="9">D17*D7</f>
        <v>0</v>
      </c>
      <c r="E19" s="53">
        <f t="shared" si="9"/>
        <v>0</v>
      </c>
      <c r="F19" s="53">
        <f t="shared" si="9"/>
        <v>0</v>
      </c>
      <c r="G19" s="53">
        <f t="shared" si="9"/>
        <v>0</v>
      </c>
      <c r="H19" s="53">
        <f t="shared" si="9"/>
        <v>0</v>
      </c>
      <c r="I19" s="53">
        <f t="shared" si="9"/>
        <v>0</v>
      </c>
      <c r="J19" s="53">
        <f t="shared" si="9"/>
        <v>0</v>
      </c>
      <c r="K19" s="53">
        <f t="shared" si="9"/>
        <v>12885.875996313895</v>
      </c>
      <c r="L19" s="53">
        <f t="shared" si="9"/>
        <v>13198.639976806951</v>
      </c>
      <c r="M19" s="53">
        <f t="shared" si="9"/>
        <v>13518.995316049839</v>
      </c>
      <c r="N19" s="53">
        <f t="shared" si="9"/>
        <v>13847.126270322891</v>
      </c>
      <c r="O19" s="53">
        <f t="shared" si="9"/>
        <v>14183.22156814626</v>
      </c>
      <c r="P19" s="53">
        <f t="shared" si="9"/>
        <v>14527.474518829427</v>
      </c>
      <c r="Q19" s="53">
        <f t="shared" si="9"/>
        <v>14880.08312365538</v>
      </c>
      <c r="R19" s="53">
        <f t="shared" si="9"/>
        <v>15241.250189763519</v>
      </c>
      <c r="S19" s="53">
        <f t="shared" si="9"/>
        <v>15611.183446796611</v>
      </c>
      <c r="T19" s="53">
        <f t="shared" si="9"/>
        <v>15990.095666379057</v>
      </c>
      <c r="U19" s="53">
        <f t="shared" si="9"/>
        <v>16378.204784495054</v>
      </c>
      <c r="V19" s="53">
        <f t="shared" si="9"/>
        <v>16775.734026837163</v>
      </c>
      <c r="W19" s="53">
        <f t="shared" si="9"/>
        <v>17182.912037197286</v>
      </c>
      <c r="X19" s="53">
        <f t="shared" si="9"/>
        <v>17599.973008973921</v>
      </c>
      <c r="Y19" s="53">
        <f t="shared" si="9"/>
        <v>18027.156819871343</v>
      </c>
      <c r="Z19" s="53">
        <f t="shared" si="9"/>
        <v>18464.709169868223</v>
      </c>
      <c r="AA19" s="53">
        <f t="shared" si="9"/>
        <v>18912.881722534923</v>
      </c>
      <c r="AB19" s="53">
        <f t="shared" si="9"/>
        <v>19371.932249780919</v>
      </c>
      <c r="AC19" s="53">
        <f t="shared" si="9"/>
        <v>19842.124780115402</v>
      </c>
      <c r="AD19" s="53">
        <f t="shared" si="9"/>
        <v>20323.729750506554</v>
      </c>
    </row>
    <row r="21" spans="1:30" x14ac:dyDescent="0.25">
      <c r="A21" s="212" t="s">
        <v>391</v>
      </c>
    </row>
    <row r="22" spans="1:30" x14ac:dyDescent="0.25">
      <c r="A22"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55D7F-B12F-4DDC-8E2F-6A98510D2F81}">
  <dimension ref="A1:AE25"/>
  <sheetViews>
    <sheetView workbookViewId="0">
      <selection activeCell="J13" sqref="J13"/>
    </sheetView>
  </sheetViews>
  <sheetFormatPr defaultRowHeight="15" x14ac:dyDescent="0.25"/>
  <cols>
    <col min="1" max="1" width="25.28515625" customWidth="1"/>
    <col min="2" max="2" width="45.5703125" bestFit="1" customWidth="1"/>
    <col min="27" max="27" width="10.7109375" customWidth="1"/>
    <col min="28" max="28" width="9.85546875" customWidth="1"/>
    <col min="29" max="29" width="10.5703125" customWidth="1"/>
    <col min="30" max="30" width="10.42578125" customWidth="1"/>
  </cols>
  <sheetData>
    <row r="1" spans="1:31" ht="23.25" x14ac:dyDescent="0.35">
      <c r="A1" s="102" t="s">
        <v>363</v>
      </c>
      <c r="B1" s="102"/>
      <c r="C1" s="55"/>
      <c r="D1" s="55"/>
      <c r="E1" s="55"/>
    </row>
    <row r="3" spans="1:31" s="186" customFormat="1" x14ac:dyDescent="0.25">
      <c r="A3" s="187"/>
    </row>
    <row r="4" spans="1:31" x14ac:dyDescent="0.25">
      <c r="A4" s="2"/>
      <c r="B4" s="2"/>
      <c r="C4" s="2"/>
      <c r="D4" s="5">
        <v>2020</v>
      </c>
      <c r="E4" s="5">
        <f t="shared" ref="E4:T5" si="0">D4+1</f>
        <v>2021</v>
      </c>
      <c r="F4" s="5">
        <f t="shared" si="0"/>
        <v>2022</v>
      </c>
      <c r="G4" s="5">
        <f t="shared" si="0"/>
        <v>2023</v>
      </c>
      <c r="H4" s="5">
        <f t="shared" si="0"/>
        <v>2024</v>
      </c>
      <c r="I4" s="5">
        <f t="shared" si="0"/>
        <v>2025</v>
      </c>
      <c r="J4" s="5">
        <f t="shared" si="0"/>
        <v>2026</v>
      </c>
      <c r="K4" s="5">
        <f t="shared" si="0"/>
        <v>2027</v>
      </c>
      <c r="L4" s="5">
        <f t="shared" si="0"/>
        <v>2028</v>
      </c>
      <c r="M4" s="5">
        <f t="shared" si="0"/>
        <v>2029</v>
      </c>
      <c r="N4" s="5">
        <f t="shared" si="0"/>
        <v>2030</v>
      </c>
      <c r="O4" s="5">
        <f t="shared" si="0"/>
        <v>2031</v>
      </c>
      <c r="P4" s="5">
        <f t="shared" si="0"/>
        <v>2032</v>
      </c>
      <c r="Q4" s="5">
        <f t="shared" si="0"/>
        <v>2033</v>
      </c>
      <c r="R4" s="5">
        <f t="shared" si="0"/>
        <v>2034</v>
      </c>
      <c r="S4" s="5">
        <f t="shared" si="0"/>
        <v>2035</v>
      </c>
      <c r="T4" s="5">
        <f t="shared" si="0"/>
        <v>2036</v>
      </c>
      <c r="U4" s="5">
        <f t="shared" ref="U4:AD5" si="1">T4+1</f>
        <v>2037</v>
      </c>
      <c r="V4" s="5">
        <f t="shared" si="1"/>
        <v>2038</v>
      </c>
      <c r="W4" s="5">
        <f t="shared" si="1"/>
        <v>2039</v>
      </c>
      <c r="X4" s="5">
        <f t="shared" si="1"/>
        <v>2040</v>
      </c>
      <c r="Y4" s="5">
        <f t="shared" si="1"/>
        <v>2041</v>
      </c>
      <c r="Z4" s="5">
        <f t="shared" si="1"/>
        <v>2042</v>
      </c>
      <c r="AA4" s="5">
        <f t="shared" si="1"/>
        <v>2043</v>
      </c>
      <c r="AB4" s="5">
        <f t="shared" si="1"/>
        <v>2044</v>
      </c>
      <c r="AC4" s="5">
        <f t="shared" si="1"/>
        <v>2045</v>
      </c>
      <c r="AD4" s="5">
        <f t="shared" si="1"/>
        <v>2046</v>
      </c>
    </row>
    <row r="5" spans="1:31" x14ac:dyDescent="0.25">
      <c r="A5" s="57" t="s">
        <v>57</v>
      </c>
      <c r="B5" s="57"/>
      <c r="C5" s="57"/>
      <c r="D5" s="1">
        <v>0</v>
      </c>
      <c r="E5" s="1">
        <v>0</v>
      </c>
      <c r="F5" s="1">
        <v>0</v>
      </c>
      <c r="G5" s="1">
        <v>0</v>
      </c>
      <c r="H5" s="1">
        <v>0</v>
      </c>
      <c r="I5" s="1">
        <v>0</v>
      </c>
      <c r="J5" s="1">
        <v>0</v>
      </c>
      <c r="K5" s="1">
        <v>1</v>
      </c>
      <c r="L5" s="1">
        <f>K5+1</f>
        <v>2</v>
      </c>
      <c r="M5" s="1">
        <f t="shared" si="0"/>
        <v>3</v>
      </c>
      <c r="N5" s="1">
        <f t="shared" si="0"/>
        <v>4</v>
      </c>
      <c r="O5" s="1">
        <f t="shared" si="0"/>
        <v>5</v>
      </c>
      <c r="P5" s="1">
        <f t="shared" si="0"/>
        <v>6</v>
      </c>
      <c r="Q5" s="1">
        <f t="shared" si="0"/>
        <v>7</v>
      </c>
      <c r="R5" s="1">
        <f t="shared" si="0"/>
        <v>8</v>
      </c>
      <c r="S5" s="1">
        <f t="shared" si="0"/>
        <v>9</v>
      </c>
      <c r="T5" s="1">
        <f t="shared" si="0"/>
        <v>10</v>
      </c>
      <c r="U5" s="1">
        <f t="shared" si="1"/>
        <v>11</v>
      </c>
      <c r="V5" s="1">
        <f t="shared" si="1"/>
        <v>12</v>
      </c>
      <c r="W5" s="1">
        <f t="shared" si="1"/>
        <v>13</v>
      </c>
      <c r="X5" s="1">
        <f t="shared" si="1"/>
        <v>14</v>
      </c>
      <c r="Y5" s="1">
        <f t="shared" si="1"/>
        <v>15</v>
      </c>
      <c r="Z5" s="1">
        <f t="shared" si="1"/>
        <v>16</v>
      </c>
      <c r="AA5" s="1">
        <f t="shared" si="1"/>
        <v>17</v>
      </c>
      <c r="AB5" s="1">
        <f t="shared" si="1"/>
        <v>18</v>
      </c>
      <c r="AC5" s="1">
        <f t="shared" si="1"/>
        <v>19</v>
      </c>
      <c r="AD5" s="1">
        <f t="shared" si="1"/>
        <v>20</v>
      </c>
    </row>
    <row r="6" spans="1:31" x14ac:dyDescent="0.25">
      <c r="A6" s="57" t="s">
        <v>293</v>
      </c>
      <c r="B6" s="57"/>
      <c r="C6" s="57"/>
      <c r="D6" s="51">
        <v>1</v>
      </c>
      <c r="E6" s="51">
        <v>0.93457943925233644</v>
      </c>
      <c r="F6" s="51">
        <v>0.87343872827321156</v>
      </c>
      <c r="G6" s="51">
        <v>0.81629787689085187</v>
      </c>
      <c r="H6" s="51">
        <v>0.7628952120475252</v>
      </c>
      <c r="I6" s="51">
        <v>0.71298617948366838</v>
      </c>
      <c r="J6" s="51">
        <v>0.66634222381651254</v>
      </c>
      <c r="K6" s="51">
        <v>0.62274974188459109</v>
      </c>
      <c r="L6" s="51">
        <v>0.5820091045650384</v>
      </c>
      <c r="M6" s="51">
        <v>0.54393374258414806</v>
      </c>
      <c r="N6" s="51">
        <v>0.5083492921347178</v>
      </c>
      <c r="O6" s="51">
        <v>0.47509279638758667</v>
      </c>
      <c r="P6" s="51">
        <v>0.44401195924073528</v>
      </c>
      <c r="Q6" s="51">
        <v>0.41496444788853759</v>
      </c>
      <c r="R6" s="51">
        <v>0.3878172410173249</v>
      </c>
      <c r="S6" s="51">
        <v>0.36244601964235967</v>
      </c>
      <c r="T6" s="51">
        <v>0.33873459779659787</v>
      </c>
      <c r="U6" s="51">
        <v>0.31657439046411018</v>
      </c>
      <c r="V6" s="51">
        <v>0.29586391632159825</v>
      </c>
      <c r="W6" s="51">
        <v>0.27650833301083949</v>
      </c>
      <c r="X6" s="51">
        <v>0.2584190028138687</v>
      </c>
      <c r="Y6" s="51">
        <v>0.24151308674193336</v>
      </c>
      <c r="Z6" s="51">
        <v>0.22571316517937698</v>
      </c>
      <c r="AA6" s="51">
        <v>0.21094688334521211</v>
      </c>
      <c r="AB6" s="51">
        <v>0.19714661994879637</v>
      </c>
      <c r="AC6" s="51">
        <v>0.18424917752223957</v>
      </c>
      <c r="AD6" s="51">
        <v>0.17219549301143888</v>
      </c>
    </row>
    <row r="7" spans="1:31" x14ac:dyDescent="0.25">
      <c r="A7" s="57" t="s">
        <v>294</v>
      </c>
      <c r="B7" s="57"/>
      <c r="C7" s="57"/>
      <c r="D7" s="51">
        <v>1</v>
      </c>
      <c r="E7" s="51">
        <v>0.970873786407767</v>
      </c>
      <c r="F7" s="51">
        <v>0.94259590913375435</v>
      </c>
      <c r="G7" s="51">
        <v>0.91514165935315961</v>
      </c>
      <c r="H7" s="51">
        <v>0.888487047915689</v>
      </c>
      <c r="I7" s="51">
        <v>0.86260878438416411</v>
      </c>
      <c r="J7" s="51">
        <v>0.83748425668365445</v>
      </c>
      <c r="K7" s="51">
        <v>0.81309151134335378</v>
      </c>
      <c r="L7" s="51">
        <v>0.78940923431393573</v>
      </c>
      <c r="M7" s="51">
        <v>0.76641673234362695</v>
      </c>
      <c r="N7" s="51">
        <v>0.74409391489672516</v>
      </c>
      <c r="O7" s="51">
        <v>0.72242127659876232</v>
      </c>
      <c r="P7" s="51">
        <v>0.70137988019297326</v>
      </c>
      <c r="Q7" s="51">
        <v>0.68095133999317792</v>
      </c>
      <c r="R7" s="51">
        <v>0.66111780581861923</v>
      </c>
      <c r="S7" s="51">
        <v>0.64186194739671765</v>
      </c>
      <c r="T7" s="51">
        <v>0.62316693922011435</v>
      </c>
      <c r="U7" s="51">
        <v>0.60501644584477121</v>
      </c>
      <c r="V7" s="51">
        <v>0.5873946076162827</v>
      </c>
      <c r="W7" s="51">
        <v>0.57028602681192497</v>
      </c>
      <c r="X7" s="51">
        <v>0.55367575418633497</v>
      </c>
      <c r="Y7" s="51">
        <v>0.5375492759090631</v>
      </c>
      <c r="Z7" s="51">
        <v>0.52189250088258554</v>
      </c>
      <c r="AA7" s="51">
        <v>0.50669174842969467</v>
      </c>
      <c r="AB7" s="51">
        <v>0.49193373633950943</v>
      </c>
      <c r="AC7" s="51">
        <v>0.47760556926165965</v>
      </c>
      <c r="AD7" s="51">
        <v>0.46369472743850448</v>
      </c>
    </row>
    <row r="8" spans="1:31" s="186" customFormat="1" x14ac:dyDescent="0.25">
      <c r="A8" s="187"/>
    </row>
    <row r="10" spans="1:31" x14ac:dyDescent="0.25">
      <c r="A10" s="9"/>
      <c r="B10" s="7"/>
      <c r="C10" s="8"/>
      <c r="D10" s="11"/>
      <c r="E10" s="11"/>
    </row>
    <row r="11" spans="1:31" x14ac:dyDescent="0.25">
      <c r="A11" s="12" t="s">
        <v>296</v>
      </c>
      <c r="B11" s="3" t="s">
        <v>5</v>
      </c>
      <c r="C11" s="4" t="s">
        <v>6</v>
      </c>
      <c r="D11" s="5">
        <v>2020</v>
      </c>
      <c r="E11" s="5">
        <f t="shared" ref="E11:AD11" si="2">D11+1</f>
        <v>2021</v>
      </c>
      <c r="F11" s="5">
        <f t="shared" si="2"/>
        <v>2022</v>
      </c>
      <c r="G11" s="5">
        <f t="shared" si="2"/>
        <v>2023</v>
      </c>
      <c r="H11" s="5">
        <f t="shared" si="2"/>
        <v>2024</v>
      </c>
      <c r="I11" s="5">
        <f t="shared" si="2"/>
        <v>2025</v>
      </c>
      <c r="J11" s="5">
        <f t="shared" si="2"/>
        <v>2026</v>
      </c>
      <c r="K11" s="5">
        <f t="shared" si="2"/>
        <v>2027</v>
      </c>
      <c r="L11" s="5">
        <f t="shared" si="2"/>
        <v>2028</v>
      </c>
      <c r="M11" s="5">
        <f t="shared" si="2"/>
        <v>2029</v>
      </c>
      <c r="N11" s="5">
        <f t="shared" si="2"/>
        <v>2030</v>
      </c>
      <c r="O11" s="5">
        <f t="shared" si="2"/>
        <v>2031</v>
      </c>
      <c r="P11" s="5">
        <f t="shared" si="2"/>
        <v>2032</v>
      </c>
      <c r="Q11" s="5">
        <f t="shared" si="2"/>
        <v>2033</v>
      </c>
      <c r="R11" s="5">
        <f t="shared" si="2"/>
        <v>2034</v>
      </c>
      <c r="S11" s="5">
        <f t="shared" si="2"/>
        <v>2035</v>
      </c>
      <c r="T11" s="5">
        <f t="shared" si="2"/>
        <v>2036</v>
      </c>
      <c r="U11" s="5">
        <f t="shared" si="2"/>
        <v>2037</v>
      </c>
      <c r="V11" s="5">
        <f t="shared" si="2"/>
        <v>2038</v>
      </c>
      <c r="W11" s="5">
        <f t="shared" si="2"/>
        <v>2039</v>
      </c>
      <c r="X11" s="5">
        <f t="shared" si="2"/>
        <v>2040</v>
      </c>
      <c r="Y11" s="5">
        <f t="shared" si="2"/>
        <v>2041</v>
      </c>
      <c r="Z11" s="5">
        <f t="shared" si="2"/>
        <v>2042</v>
      </c>
      <c r="AA11" s="5">
        <f t="shared" si="2"/>
        <v>2043</v>
      </c>
      <c r="AB11" s="5">
        <f t="shared" si="2"/>
        <v>2044</v>
      </c>
      <c r="AC11" s="5">
        <f t="shared" si="2"/>
        <v>2045</v>
      </c>
      <c r="AD11" s="5">
        <f t="shared" si="2"/>
        <v>2046</v>
      </c>
    </row>
    <row r="12" spans="1:31" x14ac:dyDescent="0.25">
      <c r="B12" s="66"/>
      <c r="C12" s="63"/>
      <c r="D12" s="64"/>
      <c r="E12" s="64"/>
    </row>
    <row r="13" spans="1:31" x14ac:dyDescent="0.25">
      <c r="A13" t="s">
        <v>365</v>
      </c>
      <c r="B13" s="62" t="s">
        <v>374</v>
      </c>
      <c r="C13" s="63"/>
      <c r="D13" s="248">
        <f>24*269</f>
        <v>6456</v>
      </c>
      <c r="E13" s="248">
        <f>D13*1.055</f>
        <v>6811.08</v>
      </c>
      <c r="F13" s="248">
        <f t="shared" ref="F13:AD13" si="3">E13*1.055</f>
        <v>7185.6893999999993</v>
      </c>
      <c r="G13" s="248">
        <f t="shared" si="3"/>
        <v>7580.9023169999991</v>
      </c>
      <c r="H13" s="248">
        <f t="shared" si="3"/>
        <v>7997.8519444349986</v>
      </c>
      <c r="I13" s="248">
        <f t="shared" si="3"/>
        <v>8437.7338013789231</v>
      </c>
      <c r="J13" s="248">
        <f t="shared" si="3"/>
        <v>8901.8091604547626</v>
      </c>
      <c r="K13" s="248">
        <f t="shared" si="3"/>
        <v>9391.4086642797738</v>
      </c>
      <c r="L13" s="248">
        <f t="shared" si="3"/>
        <v>9907.9361408151599</v>
      </c>
      <c r="M13" s="248">
        <f t="shared" si="3"/>
        <v>10452.872628559993</v>
      </c>
      <c r="N13" s="248">
        <f t="shared" si="3"/>
        <v>11027.780623130791</v>
      </c>
      <c r="O13" s="248">
        <f t="shared" si="3"/>
        <v>11634.308557402985</v>
      </c>
      <c r="P13" s="248">
        <f t="shared" si="3"/>
        <v>12274.195528060149</v>
      </c>
      <c r="Q13" s="248">
        <f t="shared" si="3"/>
        <v>12949.276282103456</v>
      </c>
      <c r="R13" s="248">
        <f t="shared" si="3"/>
        <v>13661.486477619144</v>
      </c>
      <c r="S13" s="248">
        <f t="shared" si="3"/>
        <v>14412.868233888197</v>
      </c>
      <c r="T13" s="248">
        <f t="shared" si="3"/>
        <v>15205.575986752046</v>
      </c>
      <c r="U13" s="248">
        <f t="shared" si="3"/>
        <v>16041.882666023408</v>
      </c>
      <c r="V13" s="248">
        <f t="shared" si="3"/>
        <v>16924.186212654695</v>
      </c>
      <c r="W13" s="248">
        <f t="shared" si="3"/>
        <v>17855.016454350702</v>
      </c>
      <c r="X13" s="248">
        <f t="shared" si="3"/>
        <v>18837.04235933999</v>
      </c>
      <c r="Y13" s="248">
        <f t="shared" si="3"/>
        <v>19873.079689103688</v>
      </c>
      <c r="Z13" s="248">
        <f t="shared" si="3"/>
        <v>20966.099072004388</v>
      </c>
      <c r="AA13" s="248">
        <f t="shared" si="3"/>
        <v>22119.23452096463</v>
      </c>
      <c r="AB13" s="248">
        <f t="shared" si="3"/>
        <v>23335.792419617683</v>
      </c>
      <c r="AC13" s="248">
        <f t="shared" si="3"/>
        <v>24619.261002696654</v>
      </c>
      <c r="AD13" s="248">
        <f t="shared" si="3"/>
        <v>25973.320357844968</v>
      </c>
      <c r="AE13" s="248"/>
    </row>
    <row r="14" spans="1:31" x14ac:dyDescent="0.25">
      <c r="B14" s="223" t="s">
        <v>382</v>
      </c>
      <c r="C14" s="273">
        <v>1.78</v>
      </c>
      <c r="D14" s="247"/>
      <c r="E14" s="247"/>
      <c r="F14" s="247"/>
      <c r="G14" s="247"/>
      <c r="H14" s="247"/>
      <c r="I14" s="247"/>
      <c r="J14" s="247"/>
      <c r="K14" s="247">
        <v>1.78</v>
      </c>
      <c r="L14" s="247">
        <v>1.78</v>
      </c>
      <c r="M14" s="247">
        <v>1.78</v>
      </c>
      <c r="N14" s="247">
        <v>1.78</v>
      </c>
      <c r="O14" s="247">
        <v>1.78</v>
      </c>
      <c r="P14" s="247">
        <v>1.78</v>
      </c>
      <c r="Q14" s="247">
        <v>1.78</v>
      </c>
      <c r="R14" s="247">
        <v>1.78</v>
      </c>
      <c r="S14" s="247">
        <v>1.78</v>
      </c>
      <c r="T14" s="247">
        <v>1.78</v>
      </c>
      <c r="U14" s="247">
        <v>1.78</v>
      </c>
      <c r="V14" s="247">
        <v>1.78</v>
      </c>
      <c r="W14" s="247">
        <v>1.78</v>
      </c>
      <c r="X14" s="247">
        <v>1.78</v>
      </c>
      <c r="Y14" s="247">
        <v>1.78</v>
      </c>
      <c r="Z14" s="247">
        <v>1.78</v>
      </c>
      <c r="AA14" s="247">
        <v>1.78</v>
      </c>
      <c r="AB14" s="247">
        <v>1.78</v>
      </c>
      <c r="AC14" s="247">
        <v>1.78</v>
      </c>
      <c r="AD14" s="247">
        <v>1.78</v>
      </c>
    </row>
    <row r="15" spans="1:31" x14ac:dyDescent="0.25">
      <c r="A15" s="9"/>
      <c r="B15" s="61" t="s">
        <v>384</v>
      </c>
      <c r="C15" s="8">
        <v>0.25</v>
      </c>
      <c r="D15" s="68"/>
      <c r="E15" s="68"/>
      <c r="K15">
        <v>0.25</v>
      </c>
      <c r="L15">
        <v>0.25</v>
      </c>
      <c r="M15">
        <v>0.25</v>
      </c>
      <c r="N15">
        <v>0.25</v>
      </c>
      <c r="O15">
        <v>0.25</v>
      </c>
      <c r="P15">
        <v>0.25</v>
      </c>
      <c r="Q15">
        <v>0.25</v>
      </c>
      <c r="R15">
        <v>0.25</v>
      </c>
      <c r="S15">
        <v>0.25</v>
      </c>
      <c r="T15">
        <v>0.25</v>
      </c>
      <c r="U15">
        <v>0.25</v>
      </c>
      <c r="V15">
        <v>0.25</v>
      </c>
      <c r="W15">
        <v>0.25</v>
      </c>
      <c r="X15">
        <v>0.25</v>
      </c>
      <c r="Y15">
        <v>0.25</v>
      </c>
      <c r="Z15">
        <v>0.25</v>
      </c>
      <c r="AA15">
        <v>0.25</v>
      </c>
      <c r="AB15">
        <v>0.25</v>
      </c>
      <c r="AC15">
        <v>0.25</v>
      </c>
      <c r="AD15">
        <v>0.25</v>
      </c>
    </row>
    <row r="16" spans="1:31" x14ac:dyDescent="0.25">
      <c r="A16" s="9" t="s">
        <v>366</v>
      </c>
      <c r="C16" s="68"/>
      <c r="D16" s="68">
        <f>D13*D14*1</f>
        <v>0</v>
      </c>
      <c r="E16" s="68">
        <f t="shared" ref="E16:J16" si="4">E13*E14*1</f>
        <v>0</v>
      </c>
      <c r="F16" s="68">
        <f t="shared" si="4"/>
        <v>0</v>
      </c>
      <c r="G16" s="68">
        <f t="shared" si="4"/>
        <v>0</v>
      </c>
      <c r="H16" s="68">
        <f t="shared" si="4"/>
        <v>0</v>
      </c>
      <c r="I16" s="68">
        <f t="shared" si="4"/>
        <v>0</v>
      </c>
      <c r="J16" s="68">
        <f t="shared" si="4"/>
        <v>0</v>
      </c>
      <c r="K16" s="68">
        <f>K13*K14*K15</f>
        <v>4179.176855604499</v>
      </c>
      <c r="L16" s="68">
        <f t="shared" ref="L16:AD16" si="5">L13*L14*L15</f>
        <v>4409.0315826627466</v>
      </c>
      <c r="M16" s="68">
        <f t="shared" si="5"/>
        <v>4651.5283197091967</v>
      </c>
      <c r="N16" s="68">
        <f t="shared" si="5"/>
        <v>4907.3623772932024</v>
      </c>
      <c r="O16" s="68">
        <f t="shared" si="5"/>
        <v>5177.2673080443283</v>
      </c>
      <c r="P16" s="68">
        <f t="shared" si="5"/>
        <v>5462.0170099867664</v>
      </c>
      <c r="Q16" s="68">
        <f t="shared" si="5"/>
        <v>5762.4279455360374</v>
      </c>
      <c r="R16" s="68">
        <f t="shared" si="5"/>
        <v>6079.3614825405193</v>
      </c>
      <c r="S16" s="68">
        <f t="shared" si="5"/>
        <v>6413.7263640802475</v>
      </c>
      <c r="T16" s="68">
        <f t="shared" si="5"/>
        <v>6766.4813141046607</v>
      </c>
      <c r="U16" s="68">
        <f t="shared" si="5"/>
        <v>7138.6377863804164</v>
      </c>
      <c r="V16" s="68">
        <f t="shared" si="5"/>
        <v>7531.2628646313397</v>
      </c>
      <c r="W16" s="68">
        <f t="shared" si="5"/>
        <v>7945.4823221860624</v>
      </c>
      <c r="X16" s="68">
        <f t="shared" si="5"/>
        <v>8382.4838499062953</v>
      </c>
      <c r="Y16" s="68">
        <f t="shared" si="5"/>
        <v>8843.5204616511419</v>
      </c>
      <c r="Z16" s="68">
        <f t="shared" si="5"/>
        <v>9329.9140870419524</v>
      </c>
      <c r="AA16" s="68">
        <f t="shared" si="5"/>
        <v>9843.0593618292605</v>
      </c>
      <c r="AB16" s="68">
        <f t="shared" si="5"/>
        <v>10384.427626729868</v>
      </c>
      <c r="AC16" s="68">
        <f t="shared" si="5"/>
        <v>10955.571146200011</v>
      </c>
      <c r="AD16" s="68">
        <f t="shared" si="5"/>
        <v>11558.127559241011</v>
      </c>
      <c r="AE16" s="68"/>
    </row>
    <row r="18" spans="1:30" x14ac:dyDescent="0.25">
      <c r="A18" s="12" t="s">
        <v>64</v>
      </c>
      <c r="B18" s="3" t="s">
        <v>5</v>
      </c>
      <c r="C18" s="4" t="s">
        <v>6</v>
      </c>
      <c r="D18" s="5">
        <v>2020</v>
      </c>
      <c r="E18" s="5">
        <f t="shared" ref="E18:AD18" si="6">D18+1</f>
        <v>2021</v>
      </c>
      <c r="F18" s="5">
        <f t="shared" si="6"/>
        <v>2022</v>
      </c>
      <c r="G18" s="5">
        <f t="shared" si="6"/>
        <v>2023</v>
      </c>
      <c r="H18" s="5">
        <f t="shared" si="6"/>
        <v>2024</v>
      </c>
      <c r="I18" s="5">
        <f t="shared" si="6"/>
        <v>2025</v>
      </c>
      <c r="J18" s="5">
        <f t="shared" si="6"/>
        <v>2026</v>
      </c>
      <c r="K18" s="5">
        <f t="shared" si="6"/>
        <v>2027</v>
      </c>
      <c r="L18" s="5">
        <f t="shared" si="6"/>
        <v>2028</v>
      </c>
      <c r="M18" s="5">
        <f t="shared" si="6"/>
        <v>2029</v>
      </c>
      <c r="N18" s="5">
        <f t="shared" si="6"/>
        <v>2030</v>
      </c>
      <c r="O18" s="5">
        <f t="shared" si="6"/>
        <v>2031</v>
      </c>
      <c r="P18" s="5">
        <f t="shared" si="6"/>
        <v>2032</v>
      </c>
      <c r="Q18" s="5">
        <f t="shared" si="6"/>
        <v>2033</v>
      </c>
      <c r="R18" s="5">
        <f t="shared" si="6"/>
        <v>2034</v>
      </c>
      <c r="S18" s="5">
        <f t="shared" si="6"/>
        <v>2035</v>
      </c>
      <c r="T18" s="5">
        <f t="shared" si="6"/>
        <v>2036</v>
      </c>
      <c r="U18" s="5">
        <f t="shared" si="6"/>
        <v>2037</v>
      </c>
      <c r="V18" s="5">
        <f t="shared" si="6"/>
        <v>2038</v>
      </c>
      <c r="W18" s="5">
        <f t="shared" si="6"/>
        <v>2039</v>
      </c>
      <c r="X18" s="5">
        <f t="shared" si="6"/>
        <v>2040</v>
      </c>
      <c r="Y18" s="5">
        <f t="shared" si="6"/>
        <v>2041</v>
      </c>
      <c r="Z18" s="5">
        <f t="shared" si="6"/>
        <v>2042</v>
      </c>
      <c r="AA18" s="5">
        <f t="shared" si="6"/>
        <v>2043</v>
      </c>
      <c r="AB18" s="5">
        <f t="shared" si="6"/>
        <v>2044</v>
      </c>
      <c r="AC18" s="5">
        <f t="shared" si="6"/>
        <v>2045</v>
      </c>
      <c r="AD18" s="5">
        <f t="shared" si="6"/>
        <v>2046</v>
      </c>
    </row>
    <row r="19" spans="1:30" x14ac:dyDescent="0.25">
      <c r="A19" s="15" t="s">
        <v>65</v>
      </c>
      <c r="C19" s="68"/>
      <c r="D19" s="53"/>
      <c r="E19" s="53"/>
      <c r="F19" s="53"/>
      <c r="G19" s="53"/>
      <c r="H19" s="53"/>
      <c r="I19" s="53"/>
      <c r="J19" s="53"/>
      <c r="K19" s="53">
        <f t="shared" ref="K19" si="7">K16</f>
        <v>4179.176855604499</v>
      </c>
      <c r="L19" s="53">
        <f t="shared" ref="L19:M19" si="8">L16</f>
        <v>4409.0315826627466</v>
      </c>
      <c r="M19" s="53">
        <f t="shared" si="8"/>
        <v>4651.5283197091967</v>
      </c>
      <c r="N19" s="53">
        <f t="shared" ref="N19:AD19" si="9">N16</f>
        <v>4907.3623772932024</v>
      </c>
      <c r="O19" s="53">
        <f t="shared" si="9"/>
        <v>5177.2673080443283</v>
      </c>
      <c r="P19" s="53">
        <f t="shared" si="9"/>
        <v>5462.0170099867664</v>
      </c>
      <c r="Q19" s="53">
        <f t="shared" si="9"/>
        <v>5762.4279455360374</v>
      </c>
      <c r="R19" s="53">
        <f t="shared" si="9"/>
        <v>6079.3614825405193</v>
      </c>
      <c r="S19" s="53">
        <f t="shared" si="9"/>
        <v>6413.7263640802475</v>
      </c>
      <c r="T19" s="53">
        <f t="shared" si="9"/>
        <v>6766.4813141046607</v>
      </c>
      <c r="U19" s="53">
        <f t="shared" si="9"/>
        <v>7138.6377863804164</v>
      </c>
      <c r="V19" s="53">
        <f t="shared" si="9"/>
        <v>7531.2628646313397</v>
      </c>
      <c r="W19" s="53">
        <f t="shared" si="9"/>
        <v>7945.4823221860624</v>
      </c>
      <c r="X19" s="53">
        <f t="shared" si="9"/>
        <v>8382.4838499062953</v>
      </c>
      <c r="Y19" s="53">
        <f t="shared" si="9"/>
        <v>8843.5204616511419</v>
      </c>
      <c r="Z19" s="53">
        <f t="shared" si="9"/>
        <v>9329.9140870419524</v>
      </c>
      <c r="AA19" s="53">
        <f t="shared" si="9"/>
        <v>9843.0593618292605</v>
      </c>
      <c r="AB19" s="53">
        <f t="shared" si="9"/>
        <v>10384.427626729868</v>
      </c>
      <c r="AC19" s="53">
        <f t="shared" si="9"/>
        <v>10955.571146200011</v>
      </c>
      <c r="AD19" s="53">
        <f t="shared" si="9"/>
        <v>11558.127559241011</v>
      </c>
    </row>
    <row r="20" spans="1:30" x14ac:dyDescent="0.25">
      <c r="A20" s="15" t="s">
        <v>66</v>
      </c>
      <c r="D20" s="53"/>
      <c r="E20" s="53"/>
      <c r="F20" s="53"/>
      <c r="G20" s="53"/>
      <c r="H20" s="53"/>
      <c r="I20" s="53"/>
      <c r="J20" s="53"/>
      <c r="K20" s="53">
        <f t="shared" ref="K20" si="10">K19*K6</f>
        <v>2602.5813081177589</v>
      </c>
      <c r="L20" s="53">
        <f t="shared" ref="L20:M20" si="11">L19*L6</f>
        <v>2566.0965234245191</v>
      </c>
      <c r="M20" s="53">
        <f t="shared" si="11"/>
        <v>2530.1232076755769</v>
      </c>
      <c r="N20" s="53">
        <f t="shared" ref="N20:AD20" si="12">N19*N6</f>
        <v>2494.6541907455453</v>
      </c>
      <c r="O20" s="53">
        <f t="shared" si="12"/>
        <v>2459.6824030248131</v>
      </c>
      <c r="P20" s="53">
        <f t="shared" si="12"/>
        <v>2425.200874010447</v>
      </c>
      <c r="Q20" s="53">
        <f t="shared" si="12"/>
        <v>2391.2027309168416</v>
      </c>
      <c r="R20" s="53">
        <f t="shared" si="12"/>
        <v>2357.6811973058584</v>
      </c>
      <c r="S20" s="53">
        <f t="shared" si="12"/>
        <v>2324.6295917361495</v>
      </c>
      <c r="T20" s="53">
        <f t="shared" si="12"/>
        <v>2292.041326431437</v>
      </c>
      <c r="U20" s="53">
        <f t="shared" si="12"/>
        <v>2259.909905967445</v>
      </c>
      <c r="V20" s="53">
        <f t="shared" si="12"/>
        <v>2228.2289259772469</v>
      </c>
      <c r="W20" s="53">
        <f t="shared" si="12"/>
        <v>2196.9920718747621</v>
      </c>
      <c r="X20" s="53">
        <f t="shared" si="12"/>
        <v>2166.193117596144</v>
      </c>
      <c r="Y20" s="53">
        <f t="shared" si="12"/>
        <v>2135.825924358815</v>
      </c>
      <c r="Z20" s="53">
        <f t="shared" si="12"/>
        <v>2105.8844394378962</v>
      </c>
      <c r="AA20" s="53">
        <f t="shared" si="12"/>
        <v>2076.3626949597951</v>
      </c>
      <c r="AB20" s="53">
        <f t="shared" si="12"/>
        <v>2047.2548067126947</v>
      </c>
      <c r="AC20" s="53">
        <f t="shared" si="12"/>
        <v>2018.5549729737315</v>
      </c>
      <c r="AD20" s="53">
        <f t="shared" si="12"/>
        <v>1990.2574733526046</v>
      </c>
    </row>
    <row r="21" spans="1:30" x14ac:dyDescent="0.25">
      <c r="A21" s="15" t="s">
        <v>67</v>
      </c>
      <c r="D21" s="53">
        <f t="shared" ref="D21:J21" si="13">D19*D8</f>
        <v>0</v>
      </c>
      <c r="E21" s="53">
        <f t="shared" si="13"/>
        <v>0</v>
      </c>
      <c r="F21" s="53">
        <f t="shared" si="13"/>
        <v>0</v>
      </c>
      <c r="G21" s="53">
        <f t="shared" si="13"/>
        <v>0</v>
      </c>
      <c r="H21" s="53">
        <f t="shared" si="13"/>
        <v>0</v>
      </c>
      <c r="I21" s="53">
        <f t="shared" si="13"/>
        <v>0</v>
      </c>
      <c r="J21" s="53">
        <f t="shared" si="13"/>
        <v>0</v>
      </c>
      <c r="K21" s="53">
        <f t="shared" ref="K21:AD21" si="14">K19*K7</f>
        <v>3398.0532256946271</v>
      </c>
      <c r="L21" s="53">
        <f t="shared" si="14"/>
        <v>3480.5302457357589</v>
      </c>
      <c r="M21" s="53">
        <f t="shared" si="14"/>
        <v>3565.0091351953643</v>
      </c>
      <c r="N21" s="53">
        <f t="shared" si="14"/>
        <v>3651.5384831369988</v>
      </c>
      <c r="O21" s="53">
        <f t="shared" si="14"/>
        <v>3740.1680579704212</v>
      </c>
      <c r="P21" s="53">
        <f t="shared" si="14"/>
        <v>3830.9488360765004</v>
      </c>
      <c r="Q21" s="53">
        <f t="shared" si="14"/>
        <v>3923.9330311269</v>
      </c>
      <c r="R21" s="53">
        <f t="shared" si="14"/>
        <v>4019.1741241154164</v>
      </c>
      <c r="S21" s="53">
        <f t="shared" si="14"/>
        <v>4116.7268941182174</v>
      </c>
      <c r="T21" s="53">
        <f t="shared" si="14"/>
        <v>4216.6474498006983</v>
      </c>
      <c r="U21" s="53">
        <f t="shared" si="14"/>
        <v>4318.9932616890646</v>
      </c>
      <c r="V21" s="53">
        <f t="shared" si="14"/>
        <v>4423.8231952252072</v>
      </c>
      <c r="W21" s="53">
        <f t="shared" si="14"/>
        <v>4531.1975446238766</v>
      </c>
      <c r="X21" s="53">
        <f t="shared" si="14"/>
        <v>4641.1780675516411</v>
      </c>
      <c r="Y21" s="53">
        <f t="shared" si="14"/>
        <v>4753.8280206475547</v>
      </c>
      <c r="Z21" s="53">
        <f t="shared" si="14"/>
        <v>4869.2121959059896</v>
      </c>
      <c r="AA21" s="53">
        <f t="shared" si="14"/>
        <v>4987.3969579425429</v>
      </c>
      <c r="AB21" s="53">
        <f t="shared" si="14"/>
        <v>5108.4502821644483</v>
      </c>
      <c r="AC21" s="53">
        <f t="shared" si="14"/>
        <v>5232.4417938674696</v>
      </c>
      <c r="AD21" s="53">
        <f t="shared" si="14"/>
        <v>5359.4428082817276</v>
      </c>
    </row>
    <row r="24" spans="1:30" x14ac:dyDescent="0.25">
      <c r="A24" t="s">
        <v>390</v>
      </c>
    </row>
    <row r="25" spans="1:30" x14ac:dyDescent="0.25">
      <c r="A25" t="s">
        <v>367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285E-6279-4863-A57C-28597CB65459}">
  <sheetPr>
    <pageSetUpPr fitToPage="1"/>
  </sheetPr>
  <dimension ref="A1:AE43"/>
  <sheetViews>
    <sheetView workbookViewId="0">
      <selection activeCell="Z43" sqref="Z43"/>
    </sheetView>
  </sheetViews>
  <sheetFormatPr defaultRowHeight="15" x14ac:dyDescent="0.25"/>
  <cols>
    <col min="1" max="1" width="37" customWidth="1"/>
    <col min="2" max="2" width="14.7109375" bestFit="1" customWidth="1"/>
    <col min="3" max="3" width="3.5703125" bestFit="1" customWidth="1"/>
    <col min="4" max="4" width="10" bestFit="1" customWidth="1"/>
    <col min="5" max="8" width="9.140625" bestFit="1" customWidth="1"/>
    <col min="9" max="11" width="10.85546875" bestFit="1" customWidth="1"/>
    <col min="12" max="12" width="9.85546875" bestFit="1" customWidth="1"/>
    <col min="13" max="13" width="8" bestFit="1" customWidth="1"/>
    <col min="14" max="15" width="11.5703125" bestFit="1" customWidth="1"/>
    <col min="16" max="16" width="10.140625" customWidth="1"/>
    <col min="17" max="18" width="8" bestFit="1" customWidth="1"/>
    <col min="19" max="19" width="9" bestFit="1" customWidth="1"/>
    <col min="20" max="20" width="8" bestFit="1" customWidth="1"/>
    <col min="21" max="21" width="9.28515625" customWidth="1"/>
    <col min="22" max="23" width="8" bestFit="1" customWidth="1"/>
    <col min="24" max="24" width="9.85546875" bestFit="1" customWidth="1"/>
    <col min="25" max="25" width="8" bestFit="1" customWidth="1"/>
    <col min="26" max="26" width="9.85546875" bestFit="1" customWidth="1"/>
    <col min="27" max="27" width="8" bestFit="1" customWidth="1"/>
    <col min="28" max="28" width="9.85546875" bestFit="1" customWidth="1"/>
    <col min="29" max="29" width="9" bestFit="1" customWidth="1"/>
    <col min="30" max="30" width="11.5703125" bestFit="1" customWidth="1"/>
  </cols>
  <sheetData>
    <row r="1" spans="1:30" ht="23.25" x14ac:dyDescent="0.35">
      <c r="A1" s="40" t="s">
        <v>54</v>
      </c>
      <c r="B1" s="40"/>
      <c r="C1" s="40"/>
      <c r="D1" s="41"/>
      <c r="E1" s="41"/>
      <c r="F1" s="42"/>
    </row>
    <row r="2" spans="1:30" x14ac:dyDescent="0.25">
      <c r="A2" s="43"/>
      <c r="B2" s="44"/>
      <c r="C2" s="44"/>
      <c r="D2" s="45" t="s">
        <v>55</v>
      </c>
      <c r="E2" s="173">
        <v>2020</v>
      </c>
      <c r="F2" s="43"/>
      <c r="K2">
        <v>1</v>
      </c>
      <c r="L2">
        <v>2</v>
      </c>
      <c r="M2">
        <v>3</v>
      </c>
      <c r="N2">
        <v>4</v>
      </c>
      <c r="O2">
        <v>5</v>
      </c>
      <c r="P2">
        <v>6</v>
      </c>
      <c r="Q2">
        <v>7</v>
      </c>
      <c r="R2">
        <v>8</v>
      </c>
      <c r="S2">
        <v>9</v>
      </c>
      <c r="T2">
        <v>10</v>
      </c>
      <c r="U2">
        <v>11</v>
      </c>
      <c r="V2">
        <v>12</v>
      </c>
      <c r="W2">
        <v>13</v>
      </c>
      <c r="X2">
        <v>14</v>
      </c>
      <c r="Y2">
        <v>15</v>
      </c>
      <c r="Z2">
        <v>16</v>
      </c>
      <c r="AA2">
        <v>17</v>
      </c>
      <c r="AB2">
        <v>18</v>
      </c>
      <c r="AC2">
        <v>19</v>
      </c>
      <c r="AD2">
        <v>20</v>
      </c>
    </row>
    <row r="3" spans="1:30" x14ac:dyDescent="0.25">
      <c r="A3" s="18" t="s">
        <v>56</v>
      </c>
      <c r="B3" s="46" t="s">
        <v>31</v>
      </c>
      <c r="C3" s="46"/>
      <c r="D3" s="47">
        <v>2020</v>
      </c>
      <c r="E3" s="47">
        <f t="shared" ref="E3:AD3" si="0">D3+1</f>
        <v>2021</v>
      </c>
      <c r="F3" s="47">
        <f t="shared" si="0"/>
        <v>2022</v>
      </c>
      <c r="G3" s="47">
        <f t="shared" si="0"/>
        <v>2023</v>
      </c>
      <c r="H3" s="47">
        <f t="shared" si="0"/>
        <v>2024</v>
      </c>
      <c r="I3" s="47">
        <f t="shared" si="0"/>
        <v>2025</v>
      </c>
      <c r="J3" s="47">
        <f t="shared" si="0"/>
        <v>2026</v>
      </c>
      <c r="K3" s="47">
        <f t="shared" si="0"/>
        <v>2027</v>
      </c>
      <c r="L3" s="47">
        <f t="shared" si="0"/>
        <v>2028</v>
      </c>
      <c r="M3" s="47">
        <f t="shared" si="0"/>
        <v>2029</v>
      </c>
      <c r="N3" s="47">
        <f t="shared" si="0"/>
        <v>2030</v>
      </c>
      <c r="O3" s="47">
        <f t="shared" si="0"/>
        <v>2031</v>
      </c>
      <c r="P3" s="47">
        <f t="shared" si="0"/>
        <v>2032</v>
      </c>
      <c r="Q3" s="47">
        <f t="shared" si="0"/>
        <v>2033</v>
      </c>
      <c r="R3" s="47">
        <f t="shared" si="0"/>
        <v>2034</v>
      </c>
      <c r="S3" s="47">
        <f t="shared" si="0"/>
        <v>2035</v>
      </c>
      <c r="T3" s="47">
        <f t="shared" si="0"/>
        <v>2036</v>
      </c>
      <c r="U3" s="47">
        <f t="shared" si="0"/>
        <v>2037</v>
      </c>
      <c r="V3" s="47">
        <f t="shared" si="0"/>
        <v>2038</v>
      </c>
      <c r="W3" s="47">
        <f t="shared" si="0"/>
        <v>2039</v>
      </c>
      <c r="X3" s="47">
        <f t="shared" si="0"/>
        <v>2040</v>
      </c>
      <c r="Y3" s="47">
        <f t="shared" si="0"/>
        <v>2041</v>
      </c>
      <c r="Z3" s="47">
        <f t="shared" si="0"/>
        <v>2042</v>
      </c>
      <c r="AA3" s="47">
        <f t="shared" si="0"/>
        <v>2043</v>
      </c>
      <c r="AB3" s="47">
        <f t="shared" si="0"/>
        <v>2044</v>
      </c>
      <c r="AC3" s="47">
        <f t="shared" si="0"/>
        <v>2045</v>
      </c>
      <c r="AD3" s="47">
        <f t="shared" si="0"/>
        <v>2046</v>
      </c>
    </row>
    <row r="4" spans="1:30" x14ac:dyDescent="0.25">
      <c r="A4" s="48"/>
      <c r="B4" s="49" t="s">
        <v>57</v>
      </c>
      <c r="C4" s="49"/>
      <c r="D4" s="1">
        <v>0</v>
      </c>
      <c r="E4" s="1">
        <v>0</v>
      </c>
      <c r="F4" s="1">
        <v>0</v>
      </c>
      <c r="G4" s="1">
        <v>1</v>
      </c>
      <c r="H4" s="1">
        <v>2</v>
      </c>
      <c r="I4" s="1">
        <v>3</v>
      </c>
      <c r="J4" s="1">
        <v>4</v>
      </c>
      <c r="K4" s="1">
        <v>5</v>
      </c>
      <c r="L4" s="1">
        <v>6</v>
      </c>
      <c r="M4" s="1">
        <v>7</v>
      </c>
      <c r="N4" s="1">
        <v>8</v>
      </c>
      <c r="O4" s="1">
        <v>9</v>
      </c>
      <c r="P4" s="1">
        <v>10</v>
      </c>
      <c r="Q4" s="1">
        <v>11</v>
      </c>
      <c r="R4" s="1">
        <v>12</v>
      </c>
      <c r="S4" s="1">
        <v>13</v>
      </c>
      <c r="T4" s="1">
        <v>14</v>
      </c>
      <c r="U4" s="1">
        <v>15</v>
      </c>
      <c r="V4" s="1">
        <v>16</v>
      </c>
      <c r="W4" s="1">
        <v>17</v>
      </c>
      <c r="X4" s="1">
        <v>18</v>
      </c>
      <c r="Y4" s="1">
        <v>19</v>
      </c>
      <c r="Z4" s="1">
        <v>20</v>
      </c>
      <c r="AA4" s="1">
        <v>21</v>
      </c>
      <c r="AB4" s="1">
        <v>22</v>
      </c>
      <c r="AC4" s="1">
        <v>23</v>
      </c>
      <c r="AD4" s="1">
        <v>24</v>
      </c>
    </row>
    <row r="5" spans="1:30" x14ac:dyDescent="0.25">
      <c r="A5" s="48"/>
      <c r="B5" s="49" t="s">
        <v>58</v>
      </c>
      <c r="C5" s="50">
        <v>7.0000000000000007E-2</v>
      </c>
      <c r="D5" s="51">
        <f t="shared" ref="D5:AD5" si="1">1/(1+$C$5)^(D3-$E$2)</f>
        <v>1</v>
      </c>
      <c r="E5" s="51">
        <f t="shared" si="1"/>
        <v>0.93457943925233644</v>
      </c>
      <c r="F5" s="51">
        <f t="shared" si="1"/>
        <v>0.87343872827321156</v>
      </c>
      <c r="G5" s="51">
        <f t="shared" si="1"/>
        <v>0.81629787689085187</v>
      </c>
      <c r="H5" s="51">
        <f t="shared" si="1"/>
        <v>0.7628952120475252</v>
      </c>
      <c r="I5" s="51">
        <f t="shared" si="1"/>
        <v>0.71298617948366838</v>
      </c>
      <c r="J5" s="51">
        <f t="shared" si="1"/>
        <v>0.66634222381651254</v>
      </c>
      <c r="K5" s="51">
        <f t="shared" si="1"/>
        <v>0.62274974188459109</v>
      </c>
      <c r="L5" s="51">
        <f t="shared" si="1"/>
        <v>0.5820091045650384</v>
      </c>
      <c r="M5" s="51">
        <f t="shared" si="1"/>
        <v>0.54393374258414806</v>
      </c>
      <c r="N5" s="51">
        <f t="shared" si="1"/>
        <v>0.5083492921347178</v>
      </c>
      <c r="O5" s="51">
        <f t="shared" si="1"/>
        <v>0.47509279638758667</v>
      </c>
      <c r="P5" s="51">
        <f t="shared" si="1"/>
        <v>0.44401195924073528</v>
      </c>
      <c r="Q5" s="51">
        <f t="shared" si="1"/>
        <v>0.41496444788853759</v>
      </c>
      <c r="R5" s="51">
        <f t="shared" si="1"/>
        <v>0.3878172410173249</v>
      </c>
      <c r="S5" s="51">
        <f t="shared" si="1"/>
        <v>0.36244601964235967</v>
      </c>
      <c r="T5" s="51">
        <f t="shared" si="1"/>
        <v>0.33873459779659787</v>
      </c>
      <c r="U5" s="51">
        <f t="shared" si="1"/>
        <v>0.31657439046411018</v>
      </c>
      <c r="V5" s="51">
        <f t="shared" si="1"/>
        <v>0.29586391632159825</v>
      </c>
      <c r="W5" s="51">
        <f t="shared" si="1"/>
        <v>0.27650833301083949</v>
      </c>
      <c r="X5" s="51">
        <f t="shared" si="1"/>
        <v>0.2584190028138687</v>
      </c>
      <c r="Y5" s="51">
        <f t="shared" si="1"/>
        <v>0.24151308674193336</v>
      </c>
      <c r="Z5" s="51">
        <f t="shared" si="1"/>
        <v>0.22571316517937698</v>
      </c>
      <c r="AA5" s="51">
        <f t="shared" si="1"/>
        <v>0.21094688334521211</v>
      </c>
      <c r="AB5" s="51">
        <f t="shared" si="1"/>
        <v>0.19714661994879637</v>
      </c>
      <c r="AC5" s="51">
        <f t="shared" si="1"/>
        <v>0.18424917752223957</v>
      </c>
      <c r="AD5" s="51">
        <f t="shared" si="1"/>
        <v>0.17219549301143888</v>
      </c>
    </row>
    <row r="6" spans="1:30" x14ac:dyDescent="0.25">
      <c r="A6" s="48"/>
      <c r="B6" s="49" t="s">
        <v>58</v>
      </c>
      <c r="C6" s="50">
        <v>0.03</v>
      </c>
      <c r="D6" s="51">
        <f t="shared" ref="D6:AD6" si="2">1/(1+$C$6)^(D3-$E$2)</f>
        <v>1</v>
      </c>
      <c r="E6" s="51">
        <f t="shared" si="2"/>
        <v>0.970873786407767</v>
      </c>
      <c r="F6" s="51">
        <f t="shared" si="2"/>
        <v>0.94259590913375435</v>
      </c>
      <c r="G6" s="51">
        <f t="shared" si="2"/>
        <v>0.91514165935315961</v>
      </c>
      <c r="H6" s="51">
        <f t="shared" si="2"/>
        <v>0.888487047915689</v>
      </c>
      <c r="I6" s="51">
        <f t="shared" si="2"/>
        <v>0.86260878438416411</v>
      </c>
      <c r="J6" s="51">
        <f t="shared" si="2"/>
        <v>0.83748425668365445</v>
      </c>
      <c r="K6" s="51">
        <f t="shared" si="2"/>
        <v>0.81309151134335378</v>
      </c>
      <c r="L6" s="51">
        <f t="shared" si="2"/>
        <v>0.78940923431393573</v>
      </c>
      <c r="M6" s="51">
        <f t="shared" si="2"/>
        <v>0.76641673234362695</v>
      </c>
      <c r="N6" s="51">
        <f t="shared" si="2"/>
        <v>0.74409391489672516</v>
      </c>
      <c r="O6" s="51">
        <f t="shared" si="2"/>
        <v>0.72242127659876232</v>
      </c>
      <c r="P6" s="51">
        <f t="shared" si="2"/>
        <v>0.70137988019297326</v>
      </c>
      <c r="Q6" s="51">
        <f t="shared" si="2"/>
        <v>0.68095133999317792</v>
      </c>
      <c r="R6" s="51">
        <f t="shared" si="2"/>
        <v>0.66111780581861923</v>
      </c>
      <c r="S6" s="51">
        <f t="shared" si="2"/>
        <v>0.64186194739671765</v>
      </c>
      <c r="T6" s="51">
        <f t="shared" si="2"/>
        <v>0.62316693922011435</v>
      </c>
      <c r="U6" s="51">
        <f t="shared" si="2"/>
        <v>0.60501644584477121</v>
      </c>
      <c r="V6" s="51">
        <f t="shared" si="2"/>
        <v>0.5873946076162827</v>
      </c>
      <c r="W6" s="51">
        <f t="shared" si="2"/>
        <v>0.57028602681192497</v>
      </c>
      <c r="X6" s="51">
        <f t="shared" si="2"/>
        <v>0.55367575418633497</v>
      </c>
      <c r="Y6" s="51">
        <f t="shared" si="2"/>
        <v>0.5375492759090631</v>
      </c>
      <c r="Z6" s="51">
        <f t="shared" si="2"/>
        <v>0.52189250088258554</v>
      </c>
      <c r="AA6" s="51">
        <f t="shared" si="2"/>
        <v>0.50669174842969467</v>
      </c>
      <c r="AB6" s="51">
        <f t="shared" si="2"/>
        <v>0.49193373633950943</v>
      </c>
      <c r="AC6" s="51">
        <f t="shared" si="2"/>
        <v>0.47760556926165965</v>
      </c>
      <c r="AD6" s="51">
        <f t="shared" si="2"/>
        <v>0.46369472743850448</v>
      </c>
    </row>
    <row r="8" spans="1:30" ht="15.75" x14ac:dyDescent="0.25">
      <c r="A8" s="167" t="s">
        <v>281</v>
      </c>
      <c r="B8" s="167"/>
      <c r="C8" s="167"/>
      <c r="K8">
        <v>1</v>
      </c>
      <c r="L8">
        <v>2</v>
      </c>
      <c r="M8">
        <v>3</v>
      </c>
      <c r="N8">
        <v>4</v>
      </c>
      <c r="O8">
        <v>5</v>
      </c>
      <c r="P8">
        <v>6</v>
      </c>
      <c r="Q8">
        <v>7</v>
      </c>
      <c r="R8">
        <v>8</v>
      </c>
      <c r="S8">
        <v>9</v>
      </c>
      <c r="T8">
        <v>10</v>
      </c>
      <c r="U8">
        <v>11</v>
      </c>
      <c r="V8">
        <v>12</v>
      </c>
      <c r="W8">
        <v>13</v>
      </c>
      <c r="X8">
        <v>14</v>
      </c>
      <c r="Y8">
        <v>15</v>
      </c>
      <c r="Z8">
        <v>16</v>
      </c>
      <c r="AA8">
        <v>17</v>
      </c>
      <c r="AB8">
        <v>18</v>
      </c>
      <c r="AC8">
        <v>19</v>
      </c>
      <c r="AD8">
        <v>20</v>
      </c>
    </row>
    <row r="9" spans="1:30" s="172" customFormat="1" x14ac:dyDescent="0.25">
      <c r="A9" s="12" t="s">
        <v>31</v>
      </c>
      <c r="B9" s="12"/>
      <c r="C9" s="12"/>
      <c r="D9" s="12">
        <v>2020</v>
      </c>
      <c r="E9" s="12">
        <f t="shared" ref="E9:AD9" si="3">D9+1</f>
        <v>2021</v>
      </c>
      <c r="F9" s="12">
        <f t="shared" si="3"/>
        <v>2022</v>
      </c>
      <c r="G9" s="12">
        <f t="shared" si="3"/>
        <v>2023</v>
      </c>
      <c r="H9" s="12">
        <f t="shared" si="3"/>
        <v>2024</v>
      </c>
      <c r="I9" s="12">
        <f t="shared" si="3"/>
        <v>2025</v>
      </c>
      <c r="J9" s="12">
        <f t="shared" si="3"/>
        <v>2026</v>
      </c>
      <c r="K9" s="12">
        <f t="shared" si="3"/>
        <v>2027</v>
      </c>
      <c r="L9" s="12">
        <f t="shared" si="3"/>
        <v>2028</v>
      </c>
      <c r="M9" s="12">
        <f t="shared" si="3"/>
        <v>2029</v>
      </c>
      <c r="N9" s="12">
        <f t="shared" si="3"/>
        <v>2030</v>
      </c>
      <c r="O9" s="12">
        <f t="shared" si="3"/>
        <v>2031</v>
      </c>
      <c r="P9" s="12">
        <f t="shared" si="3"/>
        <v>2032</v>
      </c>
      <c r="Q9" s="12">
        <f t="shared" si="3"/>
        <v>2033</v>
      </c>
      <c r="R9" s="12">
        <f t="shared" si="3"/>
        <v>2034</v>
      </c>
      <c r="S9" s="12">
        <f t="shared" si="3"/>
        <v>2035</v>
      </c>
      <c r="T9" s="12">
        <f t="shared" si="3"/>
        <v>2036</v>
      </c>
      <c r="U9" s="12">
        <f t="shared" si="3"/>
        <v>2037</v>
      </c>
      <c r="V9" s="12">
        <f t="shared" si="3"/>
        <v>2038</v>
      </c>
      <c r="W9" s="12">
        <f t="shared" si="3"/>
        <v>2039</v>
      </c>
      <c r="X9" s="12">
        <f t="shared" si="3"/>
        <v>2040</v>
      </c>
      <c r="Y9" s="12">
        <f t="shared" si="3"/>
        <v>2041</v>
      </c>
      <c r="Z9" s="12">
        <f t="shared" si="3"/>
        <v>2042</v>
      </c>
      <c r="AA9" s="12">
        <f t="shared" si="3"/>
        <v>2043</v>
      </c>
      <c r="AB9" s="12">
        <f t="shared" si="3"/>
        <v>2044</v>
      </c>
      <c r="AC9" s="12">
        <f t="shared" si="3"/>
        <v>2045</v>
      </c>
      <c r="AD9" s="12">
        <f t="shared" si="3"/>
        <v>2046</v>
      </c>
    </row>
    <row r="10" spans="1:30" x14ac:dyDescent="0.25">
      <c r="A10" t="s">
        <v>270</v>
      </c>
      <c r="D10" s="53">
        <v>0</v>
      </c>
      <c r="E10" s="53">
        <v>0</v>
      </c>
      <c r="F10" s="53">
        <v>0</v>
      </c>
      <c r="G10" s="53">
        <v>0</v>
      </c>
      <c r="H10" s="53">
        <v>0</v>
      </c>
      <c r="I10" s="53">
        <v>0</v>
      </c>
      <c r="J10" s="53">
        <v>0</v>
      </c>
      <c r="K10" s="53">
        <v>0</v>
      </c>
      <c r="L10" s="53">
        <v>0</v>
      </c>
      <c r="M10" s="53">
        <v>0</v>
      </c>
      <c r="N10" s="53">
        <v>0</v>
      </c>
      <c r="O10" s="53">
        <v>0</v>
      </c>
      <c r="P10" s="53">
        <v>0</v>
      </c>
      <c r="Q10" s="53">
        <v>0</v>
      </c>
      <c r="R10" s="53">
        <v>0</v>
      </c>
      <c r="S10" s="53">
        <v>0</v>
      </c>
      <c r="T10" s="53">
        <v>0</v>
      </c>
      <c r="U10" s="53">
        <v>0</v>
      </c>
      <c r="V10" s="53">
        <v>0</v>
      </c>
      <c r="W10" s="53">
        <v>0</v>
      </c>
      <c r="X10" s="53">
        <v>0</v>
      </c>
      <c r="Y10" s="53">
        <v>0</v>
      </c>
      <c r="Z10" s="53">
        <v>0</v>
      </c>
      <c r="AA10" s="53">
        <v>0</v>
      </c>
      <c r="AB10" s="53">
        <v>0</v>
      </c>
      <c r="AC10" s="53">
        <v>0</v>
      </c>
      <c r="AD10" s="53">
        <v>0</v>
      </c>
    </row>
    <row r="11" spans="1:30" x14ac:dyDescent="0.25">
      <c r="A11" t="s">
        <v>59</v>
      </c>
      <c r="D11" s="53">
        <v>0</v>
      </c>
      <c r="E11" s="53">
        <v>0</v>
      </c>
      <c r="F11" s="53">
        <v>0</v>
      </c>
      <c r="G11" s="53">
        <v>0</v>
      </c>
      <c r="H11" s="53">
        <v>0</v>
      </c>
      <c r="I11" s="53">
        <v>0</v>
      </c>
      <c r="J11" s="53">
        <v>0</v>
      </c>
      <c r="K11" s="53">
        <v>0</v>
      </c>
      <c r="L11" s="53">
        <v>0</v>
      </c>
      <c r="M11" s="53">
        <v>0</v>
      </c>
      <c r="N11" s="53">
        <v>0</v>
      </c>
      <c r="O11" s="53">
        <v>0</v>
      </c>
      <c r="P11" s="53">
        <v>0</v>
      </c>
      <c r="Q11" s="53">
        <v>0</v>
      </c>
      <c r="R11" s="53">
        <v>0</v>
      </c>
      <c r="S11" s="53">
        <v>0</v>
      </c>
      <c r="T11" s="53">
        <v>0</v>
      </c>
      <c r="U11" s="53">
        <v>0</v>
      </c>
      <c r="V11" s="53">
        <v>0</v>
      </c>
      <c r="W11" s="53">
        <v>0</v>
      </c>
      <c r="X11" s="53">
        <v>0</v>
      </c>
      <c r="Y11" s="53">
        <v>0</v>
      </c>
      <c r="Z11" s="53">
        <v>0</v>
      </c>
      <c r="AA11" s="53">
        <v>0</v>
      </c>
      <c r="AB11" s="53">
        <v>0</v>
      </c>
      <c r="AC11" s="53">
        <v>0</v>
      </c>
      <c r="AD11" s="53">
        <v>0</v>
      </c>
    </row>
    <row r="12" spans="1:30" x14ac:dyDescent="0.25">
      <c r="A12" s="54" t="s">
        <v>60</v>
      </c>
      <c r="D12" s="161">
        <f>SUM(D10:D11)</f>
        <v>0</v>
      </c>
      <c r="E12" s="161">
        <f t="shared" ref="E12:AD12" si="4">SUM(E10:E11)</f>
        <v>0</v>
      </c>
      <c r="F12" s="161">
        <f t="shared" si="4"/>
        <v>0</v>
      </c>
      <c r="G12" s="161">
        <f t="shared" si="4"/>
        <v>0</v>
      </c>
      <c r="H12" s="161">
        <f t="shared" si="4"/>
        <v>0</v>
      </c>
      <c r="I12" s="161">
        <f t="shared" si="4"/>
        <v>0</v>
      </c>
      <c r="J12" s="161">
        <f t="shared" si="4"/>
        <v>0</v>
      </c>
      <c r="K12" s="161">
        <f t="shared" si="4"/>
        <v>0</v>
      </c>
      <c r="L12" s="161">
        <f t="shared" si="4"/>
        <v>0</v>
      </c>
      <c r="M12" s="161">
        <f t="shared" si="4"/>
        <v>0</v>
      </c>
      <c r="N12" s="161">
        <f t="shared" si="4"/>
        <v>0</v>
      </c>
      <c r="O12" s="161">
        <f t="shared" si="4"/>
        <v>0</v>
      </c>
      <c r="P12" s="161">
        <f t="shared" si="4"/>
        <v>0</v>
      </c>
      <c r="Q12" s="161">
        <f t="shared" si="4"/>
        <v>0</v>
      </c>
      <c r="R12" s="161">
        <f t="shared" si="4"/>
        <v>0</v>
      </c>
      <c r="S12" s="161">
        <f t="shared" si="4"/>
        <v>0</v>
      </c>
      <c r="T12" s="161">
        <f t="shared" si="4"/>
        <v>0</v>
      </c>
      <c r="U12" s="161">
        <f t="shared" si="4"/>
        <v>0</v>
      </c>
      <c r="V12" s="161">
        <f t="shared" si="4"/>
        <v>0</v>
      </c>
      <c r="W12" s="161">
        <f t="shared" si="4"/>
        <v>0</v>
      </c>
      <c r="X12" s="161">
        <f t="shared" si="4"/>
        <v>0</v>
      </c>
      <c r="Y12" s="161">
        <f t="shared" si="4"/>
        <v>0</v>
      </c>
      <c r="Z12" s="161">
        <f t="shared" si="4"/>
        <v>0</v>
      </c>
      <c r="AA12" s="161">
        <f t="shared" si="4"/>
        <v>0</v>
      </c>
      <c r="AB12" s="161">
        <f t="shared" si="4"/>
        <v>0</v>
      </c>
      <c r="AC12" s="161">
        <f t="shared" si="4"/>
        <v>0</v>
      </c>
      <c r="AD12" s="161">
        <f t="shared" si="4"/>
        <v>0</v>
      </c>
    </row>
    <row r="13" spans="1:30" x14ac:dyDescent="0.25">
      <c r="A13" s="54"/>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row>
    <row r="14" spans="1:30" ht="15.75" x14ac:dyDescent="0.25">
      <c r="A14" s="167" t="s">
        <v>283</v>
      </c>
      <c r="B14" s="167"/>
      <c r="C14" s="167"/>
      <c r="K14">
        <v>1</v>
      </c>
      <c r="L14">
        <v>2</v>
      </c>
      <c r="M14">
        <v>3</v>
      </c>
      <c r="N14">
        <v>4</v>
      </c>
      <c r="O14">
        <v>5</v>
      </c>
      <c r="P14">
        <v>6</v>
      </c>
      <c r="Q14">
        <v>7</v>
      </c>
      <c r="R14">
        <v>8</v>
      </c>
      <c r="S14">
        <v>9</v>
      </c>
      <c r="T14">
        <v>10</v>
      </c>
      <c r="U14">
        <v>11</v>
      </c>
      <c r="V14">
        <v>12</v>
      </c>
      <c r="W14">
        <v>13</v>
      </c>
      <c r="X14">
        <v>14</v>
      </c>
      <c r="Y14">
        <v>15</v>
      </c>
      <c r="Z14">
        <v>16</v>
      </c>
      <c r="AA14">
        <v>17</v>
      </c>
      <c r="AB14">
        <v>18</v>
      </c>
      <c r="AC14">
        <v>19</v>
      </c>
      <c r="AD14">
        <v>20</v>
      </c>
    </row>
    <row r="15" spans="1:30" s="172" customFormat="1" x14ac:dyDescent="0.25">
      <c r="A15" s="12" t="s">
        <v>31</v>
      </c>
      <c r="B15" s="12"/>
      <c r="C15" s="12"/>
      <c r="D15" s="12">
        <v>2020</v>
      </c>
      <c r="E15" s="12">
        <f t="shared" ref="E15:AD15" si="5">D15+1</f>
        <v>2021</v>
      </c>
      <c r="F15" s="12">
        <f t="shared" si="5"/>
        <v>2022</v>
      </c>
      <c r="G15" s="12">
        <f t="shared" si="5"/>
        <v>2023</v>
      </c>
      <c r="H15" s="12">
        <f t="shared" si="5"/>
        <v>2024</v>
      </c>
      <c r="I15" s="12">
        <f t="shared" si="5"/>
        <v>2025</v>
      </c>
      <c r="J15" s="12">
        <f t="shared" si="5"/>
        <v>2026</v>
      </c>
      <c r="K15" s="12">
        <f t="shared" si="5"/>
        <v>2027</v>
      </c>
      <c r="L15" s="12">
        <f t="shared" si="5"/>
        <v>2028</v>
      </c>
      <c r="M15" s="12">
        <f t="shared" si="5"/>
        <v>2029</v>
      </c>
      <c r="N15" s="12">
        <f t="shared" si="5"/>
        <v>2030</v>
      </c>
      <c r="O15" s="12">
        <f t="shared" si="5"/>
        <v>2031</v>
      </c>
      <c r="P15" s="12">
        <f t="shared" si="5"/>
        <v>2032</v>
      </c>
      <c r="Q15" s="12">
        <f t="shared" si="5"/>
        <v>2033</v>
      </c>
      <c r="R15" s="12">
        <f t="shared" si="5"/>
        <v>2034</v>
      </c>
      <c r="S15" s="12">
        <f t="shared" si="5"/>
        <v>2035</v>
      </c>
      <c r="T15" s="12">
        <f t="shared" si="5"/>
        <v>2036</v>
      </c>
      <c r="U15" s="12">
        <f t="shared" si="5"/>
        <v>2037</v>
      </c>
      <c r="V15" s="12">
        <f t="shared" si="5"/>
        <v>2038</v>
      </c>
      <c r="W15" s="12">
        <f t="shared" si="5"/>
        <v>2039</v>
      </c>
      <c r="X15" s="12">
        <f t="shared" si="5"/>
        <v>2040</v>
      </c>
      <c r="Y15" s="12">
        <f t="shared" si="5"/>
        <v>2041</v>
      </c>
      <c r="Z15" s="12">
        <f t="shared" si="5"/>
        <v>2042</v>
      </c>
      <c r="AA15" s="12">
        <f t="shared" si="5"/>
        <v>2043</v>
      </c>
      <c r="AB15" s="12">
        <f t="shared" si="5"/>
        <v>2044</v>
      </c>
      <c r="AC15" s="12">
        <f t="shared" si="5"/>
        <v>2045</v>
      </c>
      <c r="AD15" s="12">
        <f t="shared" si="5"/>
        <v>2046</v>
      </c>
    </row>
    <row r="16" spans="1:30" x14ac:dyDescent="0.25">
      <c r="A16" t="s">
        <v>270</v>
      </c>
      <c r="D16" s="53">
        <f>0</f>
        <v>0</v>
      </c>
      <c r="E16" s="53">
        <f>0</f>
        <v>0</v>
      </c>
      <c r="F16" s="53">
        <f>'notes info'!V24</f>
        <v>274066.2548586005</v>
      </c>
      <c r="G16" s="53">
        <f>'notes info'!V25</f>
        <v>658119.62515387614</v>
      </c>
      <c r="H16" s="53">
        <f>'notes info'!V26</f>
        <v>173094.47675280028</v>
      </c>
      <c r="I16" s="53">
        <f>'notes info'!V27</f>
        <v>0</v>
      </c>
      <c r="J16" s="53">
        <f>'notes info'!V28</f>
        <v>0</v>
      </c>
      <c r="K16" s="53">
        <f>'notes info'!V29</f>
        <v>0</v>
      </c>
      <c r="L16" s="53">
        <f>0</f>
        <v>0</v>
      </c>
      <c r="M16" s="53">
        <f>0</f>
        <v>0</v>
      </c>
      <c r="N16" s="53">
        <f>0</f>
        <v>0</v>
      </c>
      <c r="O16" s="53">
        <f>0</f>
        <v>0</v>
      </c>
      <c r="P16" s="53">
        <f>0</f>
        <v>0</v>
      </c>
      <c r="Q16" s="53">
        <f>0</f>
        <v>0</v>
      </c>
      <c r="R16" s="53">
        <f>0</f>
        <v>0</v>
      </c>
      <c r="S16" s="53">
        <f>0</f>
        <v>0</v>
      </c>
      <c r="T16" s="53">
        <f>0</f>
        <v>0</v>
      </c>
      <c r="U16" s="53">
        <f>0</f>
        <v>0</v>
      </c>
      <c r="V16" s="53">
        <f>0</f>
        <v>0</v>
      </c>
      <c r="W16" s="53">
        <f>0</f>
        <v>0</v>
      </c>
      <c r="X16" s="53">
        <f>0</f>
        <v>0</v>
      </c>
      <c r="Y16" s="53">
        <f>0</f>
        <v>0</v>
      </c>
      <c r="Z16" s="53">
        <f>0</f>
        <v>0</v>
      </c>
      <c r="AA16" s="53">
        <f>0</f>
        <v>0</v>
      </c>
      <c r="AB16" s="53">
        <f>0</f>
        <v>0</v>
      </c>
      <c r="AC16" s="53">
        <f>0</f>
        <v>0</v>
      </c>
      <c r="AD16" s="53">
        <f>0</f>
        <v>0</v>
      </c>
    </row>
    <row r="17" spans="1:31" x14ac:dyDescent="0.25">
      <c r="A17" t="s">
        <v>59</v>
      </c>
      <c r="D17" s="53">
        <f>0</f>
        <v>0</v>
      </c>
      <c r="E17" s="53">
        <f>0</f>
        <v>0</v>
      </c>
      <c r="F17" s="53">
        <f>0</f>
        <v>0</v>
      </c>
      <c r="G17" s="53">
        <f>0</f>
        <v>0</v>
      </c>
      <c r="H17" s="53">
        <f>0</f>
        <v>0</v>
      </c>
      <c r="I17" s="53">
        <f>'notes info'!W27</f>
        <v>2005194.0771468359</v>
      </c>
      <c r="J17" s="53">
        <f>'notes info'!W28</f>
        <v>7392887.254127223</v>
      </c>
      <c r="K17" s="53">
        <f>'notes info'!W29</f>
        <v>4192678.5249433843</v>
      </c>
      <c r="L17" s="53">
        <f>0</f>
        <v>0</v>
      </c>
      <c r="M17" s="53">
        <f>0</f>
        <v>0</v>
      </c>
      <c r="N17" s="53">
        <f>0</f>
        <v>0</v>
      </c>
      <c r="O17" s="53">
        <f>0</f>
        <v>0</v>
      </c>
      <c r="P17" s="53">
        <f>0</f>
        <v>0</v>
      </c>
      <c r="Q17" s="53">
        <f>0</f>
        <v>0</v>
      </c>
      <c r="R17" s="53">
        <f>0</f>
        <v>0</v>
      </c>
      <c r="S17" s="53">
        <f>0</f>
        <v>0</v>
      </c>
      <c r="T17" s="53">
        <f>0</f>
        <v>0</v>
      </c>
      <c r="U17" s="53">
        <f>0</f>
        <v>0</v>
      </c>
      <c r="V17" s="53">
        <f>0</f>
        <v>0</v>
      </c>
      <c r="W17" s="53">
        <f>0</f>
        <v>0</v>
      </c>
      <c r="X17" s="53">
        <f>0</f>
        <v>0</v>
      </c>
      <c r="Y17" s="53">
        <f>0</f>
        <v>0</v>
      </c>
      <c r="Z17" s="53">
        <f>0</f>
        <v>0</v>
      </c>
      <c r="AA17" s="53">
        <f>0</f>
        <v>0</v>
      </c>
      <c r="AB17" s="53">
        <f>0</f>
        <v>0</v>
      </c>
      <c r="AC17" s="53">
        <f>0</f>
        <v>0</v>
      </c>
      <c r="AD17" s="53">
        <f>0</f>
        <v>0</v>
      </c>
    </row>
    <row r="18" spans="1:31" x14ac:dyDescent="0.25">
      <c r="A18" s="54" t="s">
        <v>60</v>
      </c>
      <c r="D18" s="161">
        <f>SUM(D16:D17)</f>
        <v>0</v>
      </c>
      <c r="E18" s="161">
        <f t="shared" ref="E18:AD18" si="6">SUM(E16:E17)</f>
        <v>0</v>
      </c>
      <c r="F18" s="161">
        <f t="shared" si="6"/>
        <v>274066.2548586005</v>
      </c>
      <c r="G18" s="161">
        <f t="shared" si="6"/>
        <v>658119.62515387614</v>
      </c>
      <c r="H18" s="161">
        <f t="shared" si="6"/>
        <v>173094.47675280028</v>
      </c>
      <c r="I18" s="161">
        <f t="shared" si="6"/>
        <v>2005194.0771468359</v>
      </c>
      <c r="J18" s="161">
        <f t="shared" si="6"/>
        <v>7392887.254127223</v>
      </c>
      <c r="K18" s="161">
        <f t="shared" si="6"/>
        <v>4192678.5249433843</v>
      </c>
      <c r="L18" s="161">
        <f t="shared" si="6"/>
        <v>0</v>
      </c>
      <c r="M18" s="161">
        <f t="shared" si="6"/>
        <v>0</v>
      </c>
      <c r="N18" s="161">
        <f t="shared" si="6"/>
        <v>0</v>
      </c>
      <c r="O18" s="161">
        <f t="shared" si="6"/>
        <v>0</v>
      </c>
      <c r="P18" s="161">
        <f t="shared" si="6"/>
        <v>0</v>
      </c>
      <c r="Q18" s="161">
        <f t="shared" si="6"/>
        <v>0</v>
      </c>
      <c r="R18" s="161">
        <f t="shared" si="6"/>
        <v>0</v>
      </c>
      <c r="S18" s="161">
        <f t="shared" si="6"/>
        <v>0</v>
      </c>
      <c r="T18" s="161">
        <f t="shared" si="6"/>
        <v>0</v>
      </c>
      <c r="U18" s="161">
        <f t="shared" si="6"/>
        <v>0</v>
      </c>
      <c r="V18" s="161">
        <f t="shared" si="6"/>
        <v>0</v>
      </c>
      <c r="W18" s="161">
        <f t="shared" si="6"/>
        <v>0</v>
      </c>
      <c r="X18" s="161">
        <f t="shared" si="6"/>
        <v>0</v>
      </c>
      <c r="Y18" s="161">
        <f t="shared" si="6"/>
        <v>0</v>
      </c>
      <c r="Z18" s="161">
        <f t="shared" si="6"/>
        <v>0</v>
      </c>
      <c r="AA18" s="161">
        <f t="shared" si="6"/>
        <v>0</v>
      </c>
      <c r="AB18" s="161">
        <f t="shared" si="6"/>
        <v>0</v>
      </c>
      <c r="AC18" s="161">
        <f t="shared" si="6"/>
        <v>0</v>
      </c>
      <c r="AD18" s="161">
        <f t="shared" si="6"/>
        <v>0</v>
      </c>
    </row>
    <row r="19" spans="1:31" x14ac:dyDescent="0.25">
      <c r="A19" s="54"/>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row>
    <row r="20" spans="1:31" x14ac:dyDescent="0.25">
      <c r="A20" s="12" t="s">
        <v>284</v>
      </c>
      <c r="B20" s="12"/>
      <c r="C20" s="12"/>
      <c r="D20" s="12">
        <v>2020</v>
      </c>
      <c r="E20" s="12">
        <f t="shared" ref="E20:AD20" si="7">D20+1</f>
        <v>2021</v>
      </c>
      <c r="F20" s="12">
        <f t="shared" si="7"/>
        <v>2022</v>
      </c>
      <c r="G20" s="12">
        <f t="shared" si="7"/>
        <v>2023</v>
      </c>
      <c r="H20" s="12">
        <f t="shared" si="7"/>
        <v>2024</v>
      </c>
      <c r="I20" s="12">
        <f t="shared" si="7"/>
        <v>2025</v>
      </c>
      <c r="J20" s="12">
        <f t="shared" si="7"/>
        <v>2026</v>
      </c>
      <c r="K20" s="12">
        <f t="shared" si="7"/>
        <v>2027</v>
      </c>
      <c r="L20" s="12">
        <f t="shared" si="7"/>
        <v>2028</v>
      </c>
      <c r="M20" s="12">
        <f t="shared" si="7"/>
        <v>2029</v>
      </c>
      <c r="N20" s="12">
        <f t="shared" si="7"/>
        <v>2030</v>
      </c>
      <c r="O20" s="12">
        <f t="shared" si="7"/>
        <v>2031</v>
      </c>
      <c r="P20" s="12">
        <f t="shared" si="7"/>
        <v>2032</v>
      </c>
      <c r="Q20" s="12">
        <f t="shared" si="7"/>
        <v>2033</v>
      </c>
      <c r="R20" s="12">
        <f t="shared" si="7"/>
        <v>2034</v>
      </c>
      <c r="S20" s="12">
        <f t="shared" si="7"/>
        <v>2035</v>
      </c>
      <c r="T20" s="12">
        <f t="shared" si="7"/>
        <v>2036</v>
      </c>
      <c r="U20" s="12">
        <f t="shared" si="7"/>
        <v>2037</v>
      </c>
      <c r="V20" s="12">
        <f t="shared" si="7"/>
        <v>2038</v>
      </c>
      <c r="W20" s="12">
        <f t="shared" si="7"/>
        <v>2039</v>
      </c>
      <c r="X20" s="12">
        <f t="shared" si="7"/>
        <v>2040</v>
      </c>
      <c r="Y20" s="12">
        <f t="shared" si="7"/>
        <v>2041</v>
      </c>
      <c r="Z20" s="12">
        <f t="shared" si="7"/>
        <v>2042</v>
      </c>
      <c r="AA20" s="12">
        <f t="shared" si="7"/>
        <v>2043</v>
      </c>
      <c r="AB20" s="12">
        <f t="shared" si="7"/>
        <v>2044</v>
      </c>
      <c r="AC20" s="12">
        <f t="shared" si="7"/>
        <v>2045</v>
      </c>
      <c r="AD20" s="12">
        <f t="shared" si="7"/>
        <v>2046</v>
      </c>
    </row>
    <row r="21" spans="1:31" x14ac:dyDescent="0.25">
      <c r="A21" s="15" t="s">
        <v>65</v>
      </c>
      <c r="D21" s="161">
        <f>D12-D18</f>
        <v>0</v>
      </c>
      <c r="E21" s="161">
        <f t="shared" ref="E21:AD21" si="8">E12-E18</f>
        <v>0</v>
      </c>
      <c r="F21" s="161">
        <f t="shared" si="8"/>
        <v>-274066.2548586005</v>
      </c>
      <c r="G21" s="161">
        <f t="shared" si="8"/>
        <v>-658119.62515387614</v>
      </c>
      <c r="H21" s="161">
        <f t="shared" si="8"/>
        <v>-173094.47675280028</v>
      </c>
      <c r="I21" s="161">
        <f t="shared" si="8"/>
        <v>-2005194.0771468359</v>
      </c>
      <c r="J21" s="161">
        <f t="shared" si="8"/>
        <v>-7392887.254127223</v>
      </c>
      <c r="K21" s="161">
        <f t="shared" si="8"/>
        <v>-4192678.5249433843</v>
      </c>
      <c r="L21" s="161">
        <f t="shared" si="8"/>
        <v>0</v>
      </c>
      <c r="M21" s="161">
        <f t="shared" si="8"/>
        <v>0</v>
      </c>
      <c r="N21" s="161">
        <f t="shared" si="8"/>
        <v>0</v>
      </c>
      <c r="O21" s="161">
        <f t="shared" si="8"/>
        <v>0</v>
      </c>
      <c r="P21" s="161">
        <f t="shared" si="8"/>
        <v>0</v>
      </c>
      <c r="Q21" s="161">
        <f t="shared" si="8"/>
        <v>0</v>
      </c>
      <c r="R21" s="161">
        <f t="shared" si="8"/>
        <v>0</v>
      </c>
      <c r="S21" s="161">
        <f t="shared" si="8"/>
        <v>0</v>
      </c>
      <c r="T21" s="161">
        <f t="shared" si="8"/>
        <v>0</v>
      </c>
      <c r="U21" s="161">
        <f t="shared" si="8"/>
        <v>0</v>
      </c>
      <c r="V21" s="161">
        <f t="shared" si="8"/>
        <v>0</v>
      </c>
      <c r="W21" s="161">
        <f t="shared" si="8"/>
        <v>0</v>
      </c>
      <c r="X21" s="161">
        <f t="shared" si="8"/>
        <v>0</v>
      </c>
      <c r="Y21" s="161">
        <f t="shared" si="8"/>
        <v>0</v>
      </c>
      <c r="Z21" s="161">
        <f t="shared" si="8"/>
        <v>0</v>
      </c>
      <c r="AA21" s="161">
        <f t="shared" si="8"/>
        <v>0</v>
      </c>
      <c r="AB21" s="161">
        <f t="shared" si="8"/>
        <v>0</v>
      </c>
      <c r="AC21" s="161">
        <f t="shared" si="8"/>
        <v>0</v>
      </c>
      <c r="AD21" s="161">
        <f t="shared" si="8"/>
        <v>0</v>
      </c>
      <c r="AE21" s="161"/>
    </row>
    <row r="22" spans="1:31" x14ac:dyDescent="0.25">
      <c r="A22" s="15" t="s">
        <v>66</v>
      </c>
      <c r="D22" s="161">
        <f t="shared" ref="D22:AD22" si="9">D21*D5</f>
        <v>0</v>
      </c>
      <c r="E22" s="161">
        <f t="shared" si="9"/>
        <v>0</v>
      </c>
      <c r="F22" s="161">
        <f t="shared" si="9"/>
        <v>-239380.0811062979</v>
      </c>
      <c r="G22" s="161">
        <f t="shared" si="9"/>
        <v>-537221.65275331237</v>
      </c>
      <c r="H22" s="161">
        <f t="shared" si="9"/>
        <v>-132052.94754658299</v>
      </c>
      <c r="I22" s="161">
        <f t="shared" si="9"/>
        <v>-1429675.6641882027</v>
      </c>
      <c r="J22" s="161">
        <f t="shared" si="9"/>
        <v>-4926192.9333398845</v>
      </c>
      <c r="K22" s="161">
        <f t="shared" si="9"/>
        <v>-2610989.4692135607</v>
      </c>
      <c r="L22" s="161">
        <f t="shared" si="9"/>
        <v>0</v>
      </c>
      <c r="M22" s="161">
        <f t="shared" si="9"/>
        <v>0</v>
      </c>
      <c r="N22" s="161">
        <f t="shared" si="9"/>
        <v>0</v>
      </c>
      <c r="O22" s="161">
        <f t="shared" si="9"/>
        <v>0</v>
      </c>
      <c r="P22" s="161">
        <f t="shared" si="9"/>
        <v>0</v>
      </c>
      <c r="Q22" s="161">
        <f t="shared" si="9"/>
        <v>0</v>
      </c>
      <c r="R22" s="161">
        <f t="shared" si="9"/>
        <v>0</v>
      </c>
      <c r="S22" s="161">
        <f t="shared" si="9"/>
        <v>0</v>
      </c>
      <c r="T22" s="161">
        <f t="shared" si="9"/>
        <v>0</v>
      </c>
      <c r="U22" s="161">
        <f t="shared" si="9"/>
        <v>0</v>
      </c>
      <c r="V22" s="161">
        <f t="shared" si="9"/>
        <v>0</v>
      </c>
      <c r="W22" s="161">
        <f t="shared" si="9"/>
        <v>0</v>
      </c>
      <c r="X22" s="161">
        <f t="shared" si="9"/>
        <v>0</v>
      </c>
      <c r="Y22" s="161">
        <f t="shared" si="9"/>
        <v>0</v>
      </c>
      <c r="Z22" s="161">
        <f t="shared" si="9"/>
        <v>0</v>
      </c>
      <c r="AA22" s="161">
        <f t="shared" si="9"/>
        <v>0</v>
      </c>
      <c r="AB22" s="161">
        <f t="shared" si="9"/>
        <v>0</v>
      </c>
      <c r="AC22" s="161">
        <f t="shared" si="9"/>
        <v>0</v>
      </c>
      <c r="AD22" s="161">
        <f t="shared" si="9"/>
        <v>0</v>
      </c>
      <c r="AE22" s="161"/>
    </row>
    <row r="23" spans="1:31" x14ac:dyDescent="0.25">
      <c r="A23" s="15" t="s">
        <v>67</v>
      </c>
      <c r="D23" s="161">
        <f t="shared" ref="D23:AD23" si="10">D21*D6</f>
        <v>0</v>
      </c>
      <c r="E23" s="161">
        <f t="shared" si="10"/>
        <v>0</v>
      </c>
      <c r="F23" s="161">
        <f t="shared" si="10"/>
        <v>-258333.73066132577</v>
      </c>
      <c r="G23" s="161">
        <f t="shared" si="10"/>
        <v>-602272.68581619766</v>
      </c>
      <c r="H23" s="161">
        <f t="shared" si="10"/>
        <v>-153792.20066060638</v>
      </c>
      <c r="I23" s="161">
        <f t="shared" si="10"/>
        <v>-1729698.0253419578</v>
      </c>
      <c r="J23" s="161">
        <f t="shared" si="10"/>
        <v>-6191426.686768801</v>
      </c>
      <c r="K23" s="161">
        <f t="shared" si="10"/>
        <v>-3409031.3184230397</v>
      </c>
      <c r="L23" s="161">
        <f t="shared" si="10"/>
        <v>0</v>
      </c>
      <c r="M23" s="161">
        <f t="shared" si="10"/>
        <v>0</v>
      </c>
      <c r="N23" s="161">
        <f t="shared" si="10"/>
        <v>0</v>
      </c>
      <c r="O23" s="161">
        <f t="shared" si="10"/>
        <v>0</v>
      </c>
      <c r="P23" s="161">
        <f t="shared" si="10"/>
        <v>0</v>
      </c>
      <c r="Q23" s="161">
        <f t="shared" si="10"/>
        <v>0</v>
      </c>
      <c r="R23" s="161">
        <f t="shared" si="10"/>
        <v>0</v>
      </c>
      <c r="S23" s="161">
        <f t="shared" si="10"/>
        <v>0</v>
      </c>
      <c r="T23" s="161">
        <f t="shared" si="10"/>
        <v>0</v>
      </c>
      <c r="U23" s="161">
        <f t="shared" si="10"/>
        <v>0</v>
      </c>
      <c r="V23" s="161">
        <f t="shared" si="10"/>
        <v>0</v>
      </c>
      <c r="W23" s="161">
        <f t="shared" si="10"/>
        <v>0</v>
      </c>
      <c r="X23" s="161">
        <f t="shared" si="10"/>
        <v>0</v>
      </c>
      <c r="Y23" s="161">
        <f t="shared" si="10"/>
        <v>0</v>
      </c>
      <c r="Z23" s="161">
        <f t="shared" si="10"/>
        <v>0</v>
      </c>
      <c r="AA23" s="161">
        <f t="shared" si="10"/>
        <v>0</v>
      </c>
      <c r="AB23" s="161">
        <f t="shared" si="10"/>
        <v>0</v>
      </c>
      <c r="AC23" s="161">
        <f t="shared" si="10"/>
        <v>0</v>
      </c>
      <c r="AD23" s="161">
        <f t="shared" si="10"/>
        <v>0</v>
      </c>
      <c r="AE23" s="161"/>
    </row>
    <row r="24" spans="1:31" x14ac:dyDescent="0.25">
      <c r="B24" s="54"/>
      <c r="C24" s="54"/>
      <c r="F24" s="52"/>
    </row>
    <row r="25" spans="1:31" x14ac:dyDescent="0.25">
      <c r="A25" s="212" t="s">
        <v>361</v>
      </c>
    </row>
    <row r="28" spans="1:31" ht="15.75" x14ac:dyDescent="0.25">
      <c r="A28" s="167" t="s">
        <v>271</v>
      </c>
      <c r="B28" s="167"/>
      <c r="C28" s="167"/>
      <c r="K28">
        <v>1</v>
      </c>
      <c r="L28">
        <v>2</v>
      </c>
      <c r="M28">
        <v>3</v>
      </c>
      <c r="N28">
        <v>4</v>
      </c>
      <c r="O28">
        <v>5</v>
      </c>
      <c r="P28">
        <v>6</v>
      </c>
      <c r="Q28">
        <v>7</v>
      </c>
      <c r="R28">
        <v>8</v>
      </c>
      <c r="S28">
        <v>9</v>
      </c>
      <c r="T28">
        <v>10</v>
      </c>
      <c r="U28">
        <v>11</v>
      </c>
      <c r="V28">
        <v>12</v>
      </c>
      <c r="W28">
        <v>13</v>
      </c>
      <c r="X28">
        <v>14</v>
      </c>
      <c r="Y28">
        <v>15</v>
      </c>
      <c r="Z28">
        <v>16</v>
      </c>
      <c r="AA28">
        <v>17</v>
      </c>
      <c r="AB28">
        <v>18</v>
      </c>
      <c r="AC28">
        <v>19</v>
      </c>
      <c r="AD28">
        <v>20</v>
      </c>
    </row>
    <row r="29" spans="1:31" x14ac:dyDescent="0.25">
      <c r="A29" s="12" t="s">
        <v>31</v>
      </c>
      <c r="B29" s="12"/>
      <c r="C29" s="12"/>
      <c r="D29" s="12">
        <v>2020</v>
      </c>
      <c r="E29" s="12">
        <f t="shared" ref="E29:AD29" si="11">D29+1</f>
        <v>2021</v>
      </c>
      <c r="F29" s="12">
        <f t="shared" si="11"/>
        <v>2022</v>
      </c>
      <c r="G29" s="12">
        <f t="shared" si="11"/>
        <v>2023</v>
      </c>
      <c r="H29" s="12">
        <f t="shared" si="11"/>
        <v>2024</v>
      </c>
      <c r="I29" s="12">
        <f t="shared" si="11"/>
        <v>2025</v>
      </c>
      <c r="J29" s="12">
        <f t="shared" si="11"/>
        <v>2026</v>
      </c>
      <c r="K29" s="12">
        <f t="shared" si="11"/>
        <v>2027</v>
      </c>
      <c r="L29" s="12">
        <f t="shared" si="11"/>
        <v>2028</v>
      </c>
      <c r="M29" s="12">
        <f t="shared" si="11"/>
        <v>2029</v>
      </c>
      <c r="N29" s="12">
        <f t="shared" si="11"/>
        <v>2030</v>
      </c>
      <c r="O29" s="12">
        <f t="shared" si="11"/>
        <v>2031</v>
      </c>
      <c r="P29" s="12">
        <f t="shared" si="11"/>
        <v>2032</v>
      </c>
      <c r="Q29" s="12">
        <f t="shared" si="11"/>
        <v>2033</v>
      </c>
      <c r="R29" s="12">
        <f t="shared" si="11"/>
        <v>2034</v>
      </c>
      <c r="S29" s="12">
        <f t="shared" si="11"/>
        <v>2035</v>
      </c>
      <c r="T29" s="12">
        <f t="shared" si="11"/>
        <v>2036</v>
      </c>
      <c r="U29" s="12">
        <f t="shared" si="11"/>
        <v>2037</v>
      </c>
      <c r="V29" s="12">
        <f t="shared" si="11"/>
        <v>2038</v>
      </c>
      <c r="W29" s="12">
        <f t="shared" si="11"/>
        <v>2039</v>
      </c>
      <c r="X29" s="12">
        <f t="shared" si="11"/>
        <v>2040</v>
      </c>
      <c r="Y29" s="12">
        <f t="shared" si="11"/>
        <v>2041</v>
      </c>
      <c r="Z29" s="12">
        <f t="shared" si="11"/>
        <v>2042</v>
      </c>
      <c r="AA29" s="12">
        <f t="shared" si="11"/>
        <v>2043</v>
      </c>
      <c r="AB29" s="12">
        <f t="shared" si="11"/>
        <v>2044</v>
      </c>
      <c r="AC29" s="12">
        <f t="shared" si="11"/>
        <v>2045</v>
      </c>
      <c r="AD29" s="12">
        <f t="shared" si="11"/>
        <v>2046</v>
      </c>
    </row>
    <row r="30" spans="1:31" s="170" customFormat="1" x14ac:dyDescent="0.25">
      <c r="A30" s="168" t="s">
        <v>343</v>
      </c>
      <c r="B30" s="168"/>
      <c r="C30" s="168"/>
      <c r="D30" s="169"/>
      <c r="E30" s="169"/>
      <c r="F30" s="169"/>
      <c r="G30" s="169">
        <v>500</v>
      </c>
      <c r="H30" s="169">
        <v>500</v>
      </c>
      <c r="I30" s="169">
        <v>500</v>
      </c>
      <c r="J30" s="169">
        <v>500</v>
      </c>
      <c r="K30" s="169">
        <v>500</v>
      </c>
      <c r="L30" s="169">
        <v>500</v>
      </c>
      <c r="M30" s="169">
        <v>500</v>
      </c>
      <c r="N30" s="169">
        <v>500</v>
      </c>
      <c r="O30" s="165"/>
      <c r="P30" s="165"/>
      <c r="Q30" s="165"/>
      <c r="R30" s="165"/>
      <c r="S30" s="165"/>
      <c r="T30" s="165"/>
      <c r="U30" s="165"/>
      <c r="V30" s="165"/>
      <c r="W30" s="165"/>
      <c r="X30" s="165"/>
      <c r="Y30" s="165"/>
      <c r="Z30" s="165"/>
      <c r="AA30" s="165"/>
      <c r="AB30" s="165"/>
      <c r="AC30" s="165"/>
      <c r="AD30" s="165"/>
      <c r="AE30" s="165"/>
    </row>
    <row r="31" spans="1:31" s="170" customFormat="1" x14ac:dyDescent="0.25">
      <c r="A31" s="168" t="s">
        <v>256</v>
      </c>
      <c r="B31" s="168"/>
      <c r="C31" s="168"/>
      <c r="D31" s="171"/>
      <c r="E31" s="171"/>
      <c r="N31" s="170">
        <v>1000000</v>
      </c>
    </row>
    <row r="32" spans="1:31" x14ac:dyDescent="0.25">
      <c r="A32" s="84" t="s">
        <v>28</v>
      </c>
      <c r="B32" s="84"/>
      <c r="C32" s="84"/>
      <c r="D32" s="161">
        <f t="shared" ref="D32:AD32" si="12">SUM(D30:D31)</f>
        <v>0</v>
      </c>
      <c r="E32" s="161">
        <f t="shared" si="12"/>
        <v>0</v>
      </c>
      <c r="F32" s="161">
        <f t="shared" si="12"/>
        <v>0</v>
      </c>
      <c r="G32" s="161">
        <f t="shared" si="12"/>
        <v>500</v>
      </c>
      <c r="H32" s="161">
        <f t="shared" si="12"/>
        <v>500</v>
      </c>
      <c r="I32" s="161">
        <f t="shared" si="12"/>
        <v>500</v>
      </c>
      <c r="J32" s="161">
        <f t="shared" si="12"/>
        <v>500</v>
      </c>
      <c r="K32" s="161">
        <f t="shared" si="12"/>
        <v>500</v>
      </c>
      <c r="L32" s="161">
        <f t="shared" si="12"/>
        <v>500</v>
      </c>
      <c r="M32" s="161">
        <f t="shared" si="12"/>
        <v>500</v>
      </c>
      <c r="N32" s="161">
        <f t="shared" si="12"/>
        <v>1000500</v>
      </c>
      <c r="O32" s="161">
        <f t="shared" si="12"/>
        <v>0</v>
      </c>
      <c r="P32" s="161">
        <f t="shared" si="12"/>
        <v>0</v>
      </c>
      <c r="Q32" s="161">
        <f t="shared" si="12"/>
        <v>0</v>
      </c>
      <c r="R32" s="161">
        <f t="shared" si="12"/>
        <v>0</v>
      </c>
      <c r="S32" s="161">
        <f t="shared" si="12"/>
        <v>0</v>
      </c>
      <c r="T32" s="161">
        <f t="shared" si="12"/>
        <v>0</v>
      </c>
      <c r="U32" s="161">
        <f t="shared" si="12"/>
        <v>0</v>
      </c>
      <c r="V32" s="161">
        <f t="shared" si="12"/>
        <v>0</v>
      </c>
      <c r="W32" s="161">
        <f t="shared" si="12"/>
        <v>0</v>
      </c>
      <c r="X32" s="161">
        <f t="shared" si="12"/>
        <v>0</v>
      </c>
      <c r="Y32" s="161">
        <f t="shared" si="12"/>
        <v>0</v>
      </c>
      <c r="Z32" s="161">
        <f t="shared" si="12"/>
        <v>0</v>
      </c>
      <c r="AA32" s="161">
        <f t="shared" si="12"/>
        <v>0</v>
      </c>
      <c r="AB32" s="161">
        <f t="shared" si="12"/>
        <v>0</v>
      </c>
      <c r="AC32" s="161">
        <f t="shared" si="12"/>
        <v>0</v>
      </c>
      <c r="AD32" s="161">
        <f t="shared" si="12"/>
        <v>0</v>
      </c>
      <c r="AE32" s="161"/>
    </row>
    <row r="34" spans="1:31" ht="15.75" x14ac:dyDescent="0.25">
      <c r="A34" s="167" t="s">
        <v>272</v>
      </c>
      <c r="B34" s="167"/>
      <c r="C34" s="167"/>
      <c r="K34">
        <v>1</v>
      </c>
      <c r="L34">
        <v>2</v>
      </c>
      <c r="M34">
        <v>3</v>
      </c>
      <c r="N34">
        <v>4</v>
      </c>
      <c r="O34">
        <v>5</v>
      </c>
      <c r="P34">
        <v>6</v>
      </c>
      <c r="Q34">
        <v>7</v>
      </c>
      <c r="R34">
        <v>8</v>
      </c>
      <c r="S34">
        <v>9</v>
      </c>
      <c r="T34">
        <v>10</v>
      </c>
      <c r="U34">
        <v>11</v>
      </c>
      <c r="V34">
        <v>12</v>
      </c>
      <c r="W34">
        <v>13</v>
      </c>
      <c r="X34">
        <v>14</v>
      </c>
      <c r="Y34">
        <v>15</v>
      </c>
      <c r="Z34">
        <v>16</v>
      </c>
      <c r="AA34">
        <v>17</v>
      </c>
      <c r="AB34">
        <v>18</v>
      </c>
      <c r="AC34">
        <v>19</v>
      </c>
      <c r="AD34">
        <v>20</v>
      </c>
    </row>
    <row r="35" spans="1:31" s="172" customFormat="1" x14ac:dyDescent="0.25">
      <c r="A35" s="12" t="s">
        <v>31</v>
      </c>
      <c r="B35" s="12"/>
      <c r="C35" s="12"/>
      <c r="D35" s="12">
        <v>2020</v>
      </c>
      <c r="E35" s="12">
        <f t="shared" ref="E35:AD35" si="13">D35+1</f>
        <v>2021</v>
      </c>
      <c r="F35" s="12">
        <f t="shared" si="13"/>
        <v>2022</v>
      </c>
      <c r="G35" s="12">
        <f t="shared" si="13"/>
        <v>2023</v>
      </c>
      <c r="H35" s="12">
        <f t="shared" si="13"/>
        <v>2024</v>
      </c>
      <c r="I35" s="12">
        <f t="shared" si="13"/>
        <v>2025</v>
      </c>
      <c r="J35" s="12">
        <f t="shared" si="13"/>
        <v>2026</v>
      </c>
      <c r="K35" s="12">
        <f t="shared" si="13"/>
        <v>2027</v>
      </c>
      <c r="L35" s="12">
        <f t="shared" si="13"/>
        <v>2028</v>
      </c>
      <c r="M35" s="12">
        <f t="shared" si="13"/>
        <v>2029</v>
      </c>
      <c r="N35" s="12">
        <f t="shared" si="13"/>
        <v>2030</v>
      </c>
      <c r="O35" s="12">
        <f t="shared" si="13"/>
        <v>2031</v>
      </c>
      <c r="P35" s="12">
        <f t="shared" si="13"/>
        <v>2032</v>
      </c>
      <c r="Q35" s="12">
        <f t="shared" si="13"/>
        <v>2033</v>
      </c>
      <c r="R35" s="12">
        <f t="shared" si="13"/>
        <v>2034</v>
      </c>
      <c r="S35" s="12">
        <f t="shared" si="13"/>
        <v>2035</v>
      </c>
      <c r="T35" s="12">
        <f t="shared" si="13"/>
        <v>2036</v>
      </c>
      <c r="U35" s="12">
        <f t="shared" si="13"/>
        <v>2037</v>
      </c>
      <c r="V35" s="12">
        <f t="shared" si="13"/>
        <v>2038</v>
      </c>
      <c r="W35" s="12">
        <f t="shared" si="13"/>
        <v>2039</v>
      </c>
      <c r="X35" s="12">
        <f t="shared" si="13"/>
        <v>2040</v>
      </c>
      <c r="Y35" s="12">
        <f t="shared" si="13"/>
        <v>2041</v>
      </c>
      <c r="Z35" s="12">
        <f t="shared" si="13"/>
        <v>2042</v>
      </c>
      <c r="AA35" s="12">
        <f t="shared" si="13"/>
        <v>2043</v>
      </c>
      <c r="AB35" s="12">
        <f t="shared" si="13"/>
        <v>2044</v>
      </c>
      <c r="AC35" s="12">
        <f t="shared" si="13"/>
        <v>2045</v>
      </c>
      <c r="AD35" s="12">
        <f t="shared" si="13"/>
        <v>2046</v>
      </c>
    </row>
    <row r="36" spans="1:31" x14ac:dyDescent="0.25">
      <c r="A36" s="166" t="s">
        <v>359</v>
      </c>
      <c r="B36" s="166"/>
      <c r="C36" s="166"/>
      <c r="D36" s="162"/>
      <c r="E36" s="162"/>
      <c r="F36" s="162"/>
      <c r="G36" s="162"/>
      <c r="H36" s="129"/>
      <c r="I36" s="163"/>
      <c r="J36" s="165"/>
      <c r="K36" s="164"/>
      <c r="L36" s="165">
        <v>5000</v>
      </c>
      <c r="M36" s="165">
        <v>5000</v>
      </c>
      <c r="N36" s="165">
        <v>5000</v>
      </c>
      <c r="O36" s="165">
        <v>5000</v>
      </c>
      <c r="P36" s="165">
        <v>5000</v>
      </c>
      <c r="Q36" s="165">
        <v>5000</v>
      </c>
      <c r="R36" s="165">
        <v>5000</v>
      </c>
      <c r="S36" s="165">
        <v>5000</v>
      </c>
      <c r="T36" s="165">
        <v>5000</v>
      </c>
      <c r="U36" s="165">
        <v>5000</v>
      </c>
      <c r="V36" s="165">
        <v>5000</v>
      </c>
      <c r="W36" s="165">
        <v>5000</v>
      </c>
      <c r="X36" s="165">
        <v>5000</v>
      </c>
      <c r="Y36" s="165">
        <v>5000</v>
      </c>
      <c r="Z36" s="165">
        <v>5000</v>
      </c>
      <c r="AA36" s="165">
        <v>5000</v>
      </c>
      <c r="AB36" s="165">
        <v>5000</v>
      </c>
      <c r="AC36" s="165">
        <v>5000</v>
      </c>
      <c r="AD36" s="165">
        <v>5000</v>
      </c>
      <c r="AE36" s="165"/>
    </row>
    <row r="37" spans="1:31" x14ac:dyDescent="0.25">
      <c r="A37" s="166" t="s">
        <v>360</v>
      </c>
      <c r="B37" s="166"/>
      <c r="C37" s="166"/>
      <c r="D37" s="275"/>
      <c r="E37" s="275"/>
      <c r="F37" s="275"/>
      <c r="G37" s="275"/>
      <c r="H37" s="129"/>
      <c r="I37" s="163"/>
      <c r="J37" s="165"/>
      <c r="K37" s="164"/>
      <c r="L37" s="165"/>
      <c r="M37" s="165"/>
      <c r="N37" s="165"/>
      <c r="O37" s="165"/>
      <c r="P37" s="165">
        <v>75000</v>
      </c>
      <c r="Q37" s="165"/>
      <c r="R37" s="165"/>
      <c r="S37" s="165"/>
      <c r="T37" s="165"/>
      <c r="U37" s="165">
        <v>75000</v>
      </c>
      <c r="V37" s="165"/>
      <c r="W37" s="165"/>
      <c r="X37" s="165"/>
      <c r="Y37" s="165"/>
      <c r="Z37" s="165">
        <v>75000</v>
      </c>
      <c r="AA37" s="165"/>
      <c r="AB37" s="165"/>
      <c r="AC37" s="165"/>
      <c r="AD37" s="165">
        <v>75000</v>
      </c>
      <c r="AE37" s="165"/>
    </row>
    <row r="38" spans="1:31" x14ac:dyDescent="0.25">
      <c r="A38" s="84" t="s">
        <v>28</v>
      </c>
      <c r="B38" s="84"/>
      <c r="C38" s="84"/>
      <c r="D38" s="161">
        <f t="shared" ref="D38:AD38" si="14">SUM(D36:D37)</f>
        <v>0</v>
      </c>
      <c r="E38" s="161">
        <f t="shared" si="14"/>
        <v>0</v>
      </c>
      <c r="F38" s="161">
        <f t="shared" si="14"/>
        <v>0</v>
      </c>
      <c r="G38" s="161">
        <f t="shared" si="14"/>
        <v>0</v>
      </c>
      <c r="H38" s="161">
        <f t="shared" si="14"/>
        <v>0</v>
      </c>
      <c r="I38" s="161">
        <f t="shared" si="14"/>
        <v>0</v>
      </c>
      <c r="J38" s="161">
        <f t="shared" si="14"/>
        <v>0</v>
      </c>
      <c r="K38" s="161">
        <f t="shared" si="14"/>
        <v>0</v>
      </c>
      <c r="L38" s="161">
        <f t="shared" si="14"/>
        <v>5000</v>
      </c>
      <c r="M38" s="161">
        <f t="shared" si="14"/>
        <v>5000</v>
      </c>
      <c r="N38" s="161">
        <f t="shared" si="14"/>
        <v>5000</v>
      </c>
      <c r="O38" s="161">
        <f t="shared" si="14"/>
        <v>5000</v>
      </c>
      <c r="P38" s="161">
        <f t="shared" si="14"/>
        <v>80000</v>
      </c>
      <c r="Q38" s="161">
        <f t="shared" si="14"/>
        <v>5000</v>
      </c>
      <c r="R38" s="161">
        <f t="shared" si="14"/>
        <v>5000</v>
      </c>
      <c r="S38" s="161">
        <f t="shared" si="14"/>
        <v>5000</v>
      </c>
      <c r="T38" s="161">
        <f t="shared" si="14"/>
        <v>5000</v>
      </c>
      <c r="U38" s="161">
        <f t="shared" si="14"/>
        <v>80000</v>
      </c>
      <c r="V38" s="161">
        <f t="shared" si="14"/>
        <v>5000</v>
      </c>
      <c r="W38" s="161">
        <f t="shared" si="14"/>
        <v>5000</v>
      </c>
      <c r="X38" s="161">
        <f t="shared" si="14"/>
        <v>5000</v>
      </c>
      <c r="Y38" s="161">
        <f t="shared" si="14"/>
        <v>5000</v>
      </c>
      <c r="Z38" s="161">
        <f t="shared" si="14"/>
        <v>80000</v>
      </c>
      <c r="AA38" s="161">
        <f t="shared" si="14"/>
        <v>5000</v>
      </c>
      <c r="AB38" s="161">
        <f t="shared" si="14"/>
        <v>5000</v>
      </c>
      <c r="AC38" s="161">
        <f t="shared" si="14"/>
        <v>5000</v>
      </c>
      <c r="AD38" s="161">
        <f t="shared" si="14"/>
        <v>80000</v>
      </c>
      <c r="AE38" s="161"/>
    </row>
    <row r="39" spans="1:31" ht="15.75" x14ac:dyDescent="0.25">
      <c r="B39" s="167"/>
      <c r="C39" s="167"/>
      <c r="L39">
        <v>1</v>
      </c>
      <c r="M39">
        <v>2</v>
      </c>
      <c r="N39">
        <v>3</v>
      </c>
      <c r="O39">
        <v>4</v>
      </c>
      <c r="P39">
        <v>5</v>
      </c>
      <c r="Q39">
        <v>6</v>
      </c>
      <c r="R39">
        <v>7</v>
      </c>
      <c r="S39">
        <v>8</v>
      </c>
      <c r="T39">
        <v>9</v>
      </c>
      <c r="U39">
        <v>10</v>
      </c>
      <c r="V39">
        <v>11</v>
      </c>
      <c r="W39">
        <v>12</v>
      </c>
      <c r="X39">
        <v>13</v>
      </c>
      <c r="Y39">
        <v>14</v>
      </c>
      <c r="Z39">
        <v>15</v>
      </c>
      <c r="AA39">
        <v>16</v>
      </c>
      <c r="AB39">
        <v>17</v>
      </c>
      <c r="AC39">
        <v>18</v>
      </c>
      <c r="AD39">
        <v>19</v>
      </c>
    </row>
    <row r="40" spans="1:31" x14ac:dyDescent="0.25">
      <c r="A40" s="12" t="s">
        <v>282</v>
      </c>
      <c r="B40" s="12"/>
      <c r="C40" s="12"/>
      <c r="D40" s="12">
        <v>2020</v>
      </c>
      <c r="E40" s="12">
        <f t="shared" ref="E40:AD40" si="15">D40+1</f>
        <v>2021</v>
      </c>
      <c r="F40" s="12">
        <f t="shared" si="15"/>
        <v>2022</v>
      </c>
      <c r="G40" s="12">
        <f t="shared" si="15"/>
        <v>2023</v>
      </c>
      <c r="H40" s="12">
        <f t="shared" si="15"/>
        <v>2024</v>
      </c>
      <c r="I40" s="12">
        <f t="shared" si="15"/>
        <v>2025</v>
      </c>
      <c r="J40" s="12">
        <f t="shared" si="15"/>
        <v>2026</v>
      </c>
      <c r="K40" s="12">
        <f t="shared" si="15"/>
        <v>2027</v>
      </c>
      <c r="L40" s="12">
        <f t="shared" si="15"/>
        <v>2028</v>
      </c>
      <c r="M40" s="12">
        <f t="shared" si="15"/>
        <v>2029</v>
      </c>
      <c r="N40" s="12">
        <f t="shared" si="15"/>
        <v>2030</v>
      </c>
      <c r="O40" s="12">
        <f t="shared" si="15"/>
        <v>2031</v>
      </c>
      <c r="P40" s="12">
        <f t="shared" si="15"/>
        <v>2032</v>
      </c>
      <c r="Q40" s="12">
        <f t="shared" si="15"/>
        <v>2033</v>
      </c>
      <c r="R40" s="12">
        <f t="shared" si="15"/>
        <v>2034</v>
      </c>
      <c r="S40" s="12">
        <f t="shared" si="15"/>
        <v>2035</v>
      </c>
      <c r="T40" s="12">
        <f t="shared" si="15"/>
        <v>2036</v>
      </c>
      <c r="U40" s="12">
        <f t="shared" si="15"/>
        <v>2037</v>
      </c>
      <c r="V40" s="12">
        <f t="shared" si="15"/>
        <v>2038</v>
      </c>
      <c r="W40" s="12">
        <f t="shared" si="15"/>
        <v>2039</v>
      </c>
      <c r="X40" s="12">
        <f t="shared" si="15"/>
        <v>2040</v>
      </c>
      <c r="Y40" s="12">
        <f t="shared" si="15"/>
        <v>2041</v>
      </c>
      <c r="Z40" s="12">
        <f t="shared" si="15"/>
        <v>2042</v>
      </c>
      <c r="AA40" s="12">
        <f t="shared" si="15"/>
        <v>2043</v>
      </c>
      <c r="AB40" s="12">
        <f t="shared" si="15"/>
        <v>2044</v>
      </c>
      <c r="AC40" s="12">
        <f t="shared" si="15"/>
        <v>2045</v>
      </c>
      <c r="AD40" s="12">
        <f t="shared" si="15"/>
        <v>2046</v>
      </c>
    </row>
    <row r="41" spans="1:31" x14ac:dyDescent="0.25">
      <c r="A41" s="15" t="s">
        <v>65</v>
      </c>
      <c r="D41" s="53">
        <f t="shared" ref="D41:AD41" si="16">D32-D38</f>
        <v>0</v>
      </c>
      <c r="E41" s="53">
        <f t="shared" si="16"/>
        <v>0</v>
      </c>
      <c r="F41" s="53">
        <f t="shared" si="16"/>
        <v>0</v>
      </c>
      <c r="G41" s="53">
        <f t="shared" si="16"/>
        <v>500</v>
      </c>
      <c r="H41" s="53">
        <f t="shared" si="16"/>
        <v>500</v>
      </c>
      <c r="I41" s="53">
        <f t="shared" si="16"/>
        <v>500</v>
      </c>
      <c r="J41" s="53">
        <f t="shared" si="16"/>
        <v>500</v>
      </c>
      <c r="K41" s="53">
        <f t="shared" si="16"/>
        <v>500</v>
      </c>
      <c r="L41" s="53">
        <f t="shared" si="16"/>
        <v>-4500</v>
      </c>
      <c r="M41" s="53">
        <f t="shared" si="16"/>
        <v>-4500</v>
      </c>
      <c r="N41" s="53">
        <f t="shared" si="16"/>
        <v>995500</v>
      </c>
      <c r="O41" s="53">
        <f t="shared" si="16"/>
        <v>-5000</v>
      </c>
      <c r="P41" s="53">
        <f t="shared" si="16"/>
        <v>-80000</v>
      </c>
      <c r="Q41" s="53">
        <f t="shared" si="16"/>
        <v>-5000</v>
      </c>
      <c r="R41" s="53">
        <f t="shared" si="16"/>
        <v>-5000</v>
      </c>
      <c r="S41" s="53">
        <f t="shared" si="16"/>
        <v>-5000</v>
      </c>
      <c r="T41" s="53">
        <f t="shared" si="16"/>
        <v>-5000</v>
      </c>
      <c r="U41" s="53">
        <f t="shared" si="16"/>
        <v>-80000</v>
      </c>
      <c r="V41" s="53">
        <f t="shared" si="16"/>
        <v>-5000</v>
      </c>
      <c r="W41" s="53">
        <f t="shared" si="16"/>
        <v>-5000</v>
      </c>
      <c r="X41" s="53">
        <f t="shared" si="16"/>
        <v>-5000</v>
      </c>
      <c r="Y41" s="53">
        <f t="shared" si="16"/>
        <v>-5000</v>
      </c>
      <c r="Z41" s="53">
        <f t="shared" si="16"/>
        <v>-80000</v>
      </c>
      <c r="AA41" s="53">
        <f t="shared" si="16"/>
        <v>-5000</v>
      </c>
      <c r="AB41" s="53">
        <f t="shared" si="16"/>
        <v>-5000</v>
      </c>
      <c r="AC41" s="53">
        <f t="shared" si="16"/>
        <v>-5000</v>
      </c>
      <c r="AD41" s="53">
        <f t="shared" si="16"/>
        <v>-80000</v>
      </c>
      <c r="AE41" s="53"/>
    </row>
    <row r="42" spans="1:31" x14ac:dyDescent="0.25">
      <c r="A42" s="15" t="s">
        <v>66</v>
      </c>
      <c r="D42" s="53">
        <f t="shared" ref="D42:AD42" si="17">D41*D5</f>
        <v>0</v>
      </c>
      <c r="E42" s="53">
        <f t="shared" si="17"/>
        <v>0</v>
      </c>
      <c r="F42" s="53">
        <f t="shared" si="17"/>
        <v>0</v>
      </c>
      <c r="G42" s="53">
        <f t="shared" si="17"/>
        <v>408.14893844542593</v>
      </c>
      <c r="H42" s="53">
        <f t="shared" si="17"/>
        <v>381.4476060237626</v>
      </c>
      <c r="I42" s="53">
        <f t="shared" si="17"/>
        <v>356.49308974183418</v>
      </c>
      <c r="J42" s="53">
        <f t="shared" si="17"/>
        <v>333.17111190825625</v>
      </c>
      <c r="K42" s="53">
        <f t="shared" si="17"/>
        <v>311.37487094229556</v>
      </c>
      <c r="L42" s="53">
        <f t="shared" si="17"/>
        <v>-2619.0409705426728</v>
      </c>
      <c r="M42" s="53">
        <f t="shared" si="17"/>
        <v>-2447.7018416286664</v>
      </c>
      <c r="N42" s="53">
        <f t="shared" si="17"/>
        <v>506061.72032011155</v>
      </c>
      <c r="O42" s="53">
        <f t="shared" si="17"/>
        <v>-2375.4639819379336</v>
      </c>
      <c r="P42" s="53">
        <f t="shared" si="17"/>
        <v>-35520.956739258821</v>
      </c>
      <c r="Q42" s="53">
        <f t="shared" si="17"/>
        <v>-2074.822239442688</v>
      </c>
      <c r="R42" s="53">
        <f t="shared" si="17"/>
        <v>-1939.0862050866244</v>
      </c>
      <c r="S42" s="53">
        <f t="shared" si="17"/>
        <v>-1812.2300982117983</v>
      </c>
      <c r="T42" s="53">
        <f t="shared" si="17"/>
        <v>-1693.6729889829894</v>
      </c>
      <c r="U42" s="53">
        <f t="shared" si="17"/>
        <v>-25325.951237128815</v>
      </c>
      <c r="V42" s="53">
        <f t="shared" si="17"/>
        <v>-1479.3195816079913</v>
      </c>
      <c r="W42" s="53">
        <f t="shared" si="17"/>
        <v>-1382.5416650541974</v>
      </c>
      <c r="X42" s="53">
        <f t="shared" si="17"/>
        <v>-1292.0950140693435</v>
      </c>
      <c r="Y42" s="53">
        <f t="shared" si="17"/>
        <v>-1207.5654337096669</v>
      </c>
      <c r="Z42" s="53">
        <f t="shared" si="17"/>
        <v>-18057.053214350159</v>
      </c>
      <c r="AA42" s="53">
        <f t="shared" si="17"/>
        <v>-1054.7344167260605</v>
      </c>
      <c r="AB42" s="53">
        <f t="shared" si="17"/>
        <v>-985.73309974398182</v>
      </c>
      <c r="AC42" s="53">
        <f t="shared" si="17"/>
        <v>-921.24588761119787</v>
      </c>
      <c r="AD42" s="53">
        <f t="shared" si="17"/>
        <v>-13775.639440915111</v>
      </c>
      <c r="AE42" s="53"/>
    </row>
    <row r="43" spans="1:31" x14ac:dyDescent="0.25">
      <c r="A43" s="15" t="s">
        <v>67</v>
      </c>
      <c r="D43" s="53">
        <f t="shared" ref="D43:AD43" si="18">D41*D6</f>
        <v>0</v>
      </c>
      <c r="E43" s="53">
        <f t="shared" si="18"/>
        <v>0</v>
      </c>
      <c r="F43" s="53">
        <f t="shared" si="18"/>
        <v>0</v>
      </c>
      <c r="G43" s="53">
        <f t="shared" si="18"/>
        <v>457.57082967657982</v>
      </c>
      <c r="H43" s="53">
        <f t="shared" si="18"/>
        <v>444.2435239578445</v>
      </c>
      <c r="I43" s="53">
        <f t="shared" si="18"/>
        <v>431.30439219208205</v>
      </c>
      <c r="J43" s="53">
        <f t="shared" si="18"/>
        <v>418.7421283418272</v>
      </c>
      <c r="K43" s="53">
        <f t="shared" si="18"/>
        <v>406.54575567167689</v>
      </c>
      <c r="L43" s="53">
        <f t="shared" si="18"/>
        <v>-3552.3415544127106</v>
      </c>
      <c r="M43" s="53">
        <f t="shared" si="18"/>
        <v>-3448.8752955463215</v>
      </c>
      <c r="N43" s="53">
        <f t="shared" si="18"/>
        <v>740745.49227968988</v>
      </c>
      <c r="O43" s="53">
        <f t="shared" si="18"/>
        <v>-3612.1063829938116</v>
      </c>
      <c r="P43" s="53">
        <f t="shared" si="18"/>
        <v>-56110.390415437862</v>
      </c>
      <c r="Q43" s="53">
        <f t="shared" si="18"/>
        <v>-3404.7566999658898</v>
      </c>
      <c r="R43" s="53">
        <f t="shared" si="18"/>
        <v>-3305.5890290930961</v>
      </c>
      <c r="S43" s="53">
        <f t="shared" si="18"/>
        <v>-3209.3097369835882</v>
      </c>
      <c r="T43" s="53">
        <f t="shared" si="18"/>
        <v>-3115.8346961005718</v>
      </c>
      <c r="U43" s="53">
        <f t="shared" si="18"/>
        <v>-48401.315667581694</v>
      </c>
      <c r="V43" s="53">
        <f t="shared" si="18"/>
        <v>-2936.9730380814135</v>
      </c>
      <c r="W43" s="53">
        <f t="shared" si="18"/>
        <v>-2851.4301340596248</v>
      </c>
      <c r="X43" s="53">
        <f t="shared" si="18"/>
        <v>-2768.3787709316748</v>
      </c>
      <c r="Y43" s="53">
        <f t="shared" si="18"/>
        <v>-2687.7463795453154</v>
      </c>
      <c r="Z43" s="53">
        <f t="shared" si="18"/>
        <v>-41751.40007060684</v>
      </c>
      <c r="AA43" s="53">
        <f t="shared" si="18"/>
        <v>-2533.4587421484734</v>
      </c>
      <c r="AB43" s="53">
        <f t="shared" si="18"/>
        <v>-2459.6686816975471</v>
      </c>
      <c r="AC43" s="53">
        <f t="shared" si="18"/>
        <v>-2388.0278463082982</v>
      </c>
      <c r="AD43" s="53">
        <f t="shared" si="18"/>
        <v>-37095.578195080358</v>
      </c>
      <c r="AE43" s="53"/>
    </row>
  </sheetData>
  <pageMargins left="0.7" right="0.7" top="0.75" bottom="0.75" header="0.3" footer="0.3"/>
  <pageSetup paperSize="3" scale="68" fitToHeight="0" orientation="landscape" horizontalDpi="1200" verticalDpi="1200" r:id="rId1"/>
  <ignoredErrors>
    <ignoredError sqref="D18 D12 D3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81D6-1232-4A25-8C8B-511D1F44E530}">
  <sheetPr>
    <pageSetUpPr fitToPage="1"/>
  </sheetPr>
  <dimension ref="A1:AC35"/>
  <sheetViews>
    <sheetView topLeftCell="S25" zoomScaleNormal="100" workbookViewId="0">
      <selection activeCell="Y34" sqref="Y34:Y35"/>
    </sheetView>
  </sheetViews>
  <sheetFormatPr defaultRowHeight="15" x14ac:dyDescent="0.25"/>
  <cols>
    <col min="1" max="1" width="30.85546875" bestFit="1" customWidth="1"/>
    <col min="2" max="2" width="11.42578125" bestFit="1" customWidth="1"/>
    <col min="3" max="3" width="8" customWidth="1"/>
    <col min="8" max="8" width="15.42578125" bestFit="1" customWidth="1"/>
    <col min="9" max="9" width="11.7109375" bestFit="1" customWidth="1"/>
    <col min="10" max="10" width="11.140625" bestFit="1" customWidth="1"/>
    <col min="11" max="11" width="10.5703125" bestFit="1" customWidth="1"/>
    <col min="12" max="12" width="7.42578125" bestFit="1" customWidth="1"/>
    <col min="13" max="13" width="14.85546875" bestFit="1" customWidth="1"/>
    <col min="14" max="14" width="15.5703125" bestFit="1" customWidth="1"/>
    <col min="15" max="15" width="5.85546875" bestFit="1" customWidth="1"/>
    <col min="16" max="16" width="7.42578125" bestFit="1" customWidth="1"/>
    <col min="17" max="17" width="14.85546875" bestFit="1" customWidth="1"/>
    <col min="18" max="18" width="15.5703125" bestFit="1" customWidth="1"/>
    <col min="21" max="21" width="16.85546875" bestFit="1" customWidth="1"/>
    <col min="22" max="22" width="13.5703125" bestFit="1" customWidth="1"/>
    <col min="23" max="23" width="9.5703125" bestFit="1" customWidth="1"/>
    <col min="25" max="25" width="10.140625" bestFit="1" customWidth="1"/>
    <col min="27" max="27" width="10.7109375" bestFit="1" customWidth="1"/>
    <col min="28" max="28" width="9.7109375" bestFit="1" customWidth="1"/>
    <col min="29" max="29" width="10.7109375" bestFit="1" customWidth="1"/>
  </cols>
  <sheetData>
    <row r="1" spans="1:29" ht="15.75" thickBot="1" x14ac:dyDescent="0.3">
      <c r="A1" s="28" t="s">
        <v>17</v>
      </c>
      <c r="B1" s="29" t="s">
        <v>13</v>
      </c>
      <c r="C1" s="29" t="s">
        <v>15</v>
      </c>
      <c r="D1" s="29"/>
      <c r="E1" s="29"/>
      <c r="F1" s="30"/>
      <c r="H1" t="s">
        <v>220</v>
      </c>
      <c r="I1" s="28"/>
      <c r="J1" s="30"/>
      <c r="K1" s="297" t="s">
        <v>223</v>
      </c>
      <c r="L1" s="298"/>
      <c r="M1" s="298"/>
      <c r="N1" s="299"/>
      <c r="O1" s="297" t="s">
        <v>228</v>
      </c>
      <c r="P1" s="298"/>
      <c r="Q1" s="298"/>
      <c r="R1" s="299"/>
      <c r="U1" s="213" t="s">
        <v>338</v>
      </c>
      <c r="V1" s="214"/>
      <c r="W1" s="215"/>
    </row>
    <row r="2" spans="1:29" ht="15.75" thickBot="1" x14ac:dyDescent="0.3">
      <c r="A2" s="31" t="s">
        <v>8</v>
      </c>
      <c r="B2" s="32"/>
      <c r="C2" s="32"/>
      <c r="D2" s="32"/>
      <c r="E2" s="32"/>
      <c r="F2" s="33"/>
      <c r="I2" s="31" t="s">
        <v>221</v>
      </c>
      <c r="J2" s="33" t="s">
        <v>222</v>
      </c>
      <c r="K2" s="113" t="s">
        <v>225</v>
      </c>
      <c r="L2" s="114" t="s">
        <v>224</v>
      </c>
      <c r="M2" s="114" t="s">
        <v>226</v>
      </c>
      <c r="N2" s="115" t="s">
        <v>227</v>
      </c>
      <c r="O2" s="113" t="s">
        <v>225</v>
      </c>
      <c r="P2" s="114" t="s">
        <v>224</v>
      </c>
      <c r="Q2" s="114" t="s">
        <v>226</v>
      </c>
      <c r="R2" s="115" t="s">
        <v>227</v>
      </c>
      <c r="U2" s="300" t="s">
        <v>305</v>
      </c>
      <c r="V2" s="301"/>
      <c r="W2" s="302"/>
    </row>
    <row r="3" spans="1:29" ht="24.75" x14ac:dyDescent="0.25">
      <c r="A3" s="31" t="s">
        <v>9</v>
      </c>
      <c r="B3" s="32"/>
      <c r="C3" s="32"/>
      <c r="D3" s="32"/>
      <c r="E3" s="32"/>
      <c r="F3" s="33"/>
      <c r="I3" s="107">
        <v>0.5</v>
      </c>
      <c r="J3" s="108">
        <v>0.51388888888888895</v>
      </c>
      <c r="K3" s="116"/>
      <c r="L3" s="117">
        <v>3</v>
      </c>
      <c r="M3" s="117"/>
      <c r="N3" s="118">
        <v>3</v>
      </c>
      <c r="O3" s="116"/>
      <c r="P3" s="117"/>
      <c r="Q3" s="117"/>
      <c r="R3" s="118"/>
      <c r="U3" s="216" t="s">
        <v>306</v>
      </c>
      <c r="V3" s="201" t="s">
        <v>258</v>
      </c>
      <c r="W3" s="202" t="s">
        <v>257</v>
      </c>
    </row>
    <row r="4" spans="1:29" x14ac:dyDescent="0.25">
      <c r="A4" s="31" t="s">
        <v>10</v>
      </c>
      <c r="B4" s="32"/>
      <c r="C4" s="32"/>
      <c r="D4" s="32"/>
      <c r="E4" s="32"/>
      <c r="F4" s="33"/>
      <c r="I4" s="109">
        <v>0.51388888888888895</v>
      </c>
      <c r="J4" s="110">
        <v>0.52777777777777779</v>
      </c>
      <c r="K4" s="119"/>
      <c r="L4" s="91"/>
      <c r="M4" s="91"/>
      <c r="N4" s="120"/>
      <c r="O4" s="119"/>
      <c r="P4" s="91"/>
      <c r="Q4" s="91"/>
      <c r="R4" s="120"/>
      <c r="U4" s="217" t="s">
        <v>307</v>
      </c>
      <c r="V4" s="203">
        <v>2.25</v>
      </c>
      <c r="W4" s="206">
        <v>2.25</v>
      </c>
    </row>
    <row r="5" spans="1:29" x14ac:dyDescent="0.25">
      <c r="A5" s="31" t="s">
        <v>11</v>
      </c>
      <c r="B5" s="32" t="s">
        <v>14</v>
      </c>
      <c r="C5" s="32" t="s">
        <v>16</v>
      </c>
      <c r="D5" s="32"/>
      <c r="E5" s="32"/>
      <c r="F5" s="33"/>
      <c r="I5" s="109">
        <v>0.52777777777777779</v>
      </c>
      <c r="J5" s="110">
        <v>4.1666666666666699E-2</v>
      </c>
      <c r="K5" s="119"/>
      <c r="L5" s="91"/>
      <c r="M5" s="91">
        <v>1</v>
      </c>
      <c r="N5" s="120">
        <v>18</v>
      </c>
      <c r="O5" s="119"/>
      <c r="P5" s="91"/>
      <c r="Q5" s="91">
        <v>1</v>
      </c>
      <c r="R5" s="120"/>
      <c r="U5" s="217" t="s">
        <v>308</v>
      </c>
      <c r="V5" s="203">
        <v>2022</v>
      </c>
      <c r="W5" s="206">
        <v>2025</v>
      </c>
    </row>
    <row r="6" spans="1:29" x14ac:dyDescent="0.25">
      <c r="A6" s="31" t="s">
        <v>12</v>
      </c>
      <c r="B6" s="32"/>
      <c r="C6" s="32"/>
      <c r="D6" s="32"/>
      <c r="E6" s="32"/>
      <c r="F6" s="33"/>
      <c r="I6" s="107">
        <v>4.1666666666666699E-2</v>
      </c>
      <c r="J6" s="108">
        <v>5.5555555555555698E-2</v>
      </c>
      <c r="K6" s="121">
        <v>8</v>
      </c>
      <c r="L6" s="122"/>
      <c r="M6" s="122"/>
      <c r="N6" s="123"/>
      <c r="O6" s="121">
        <v>1</v>
      </c>
      <c r="P6" s="122">
        <v>2</v>
      </c>
      <c r="Q6" s="122"/>
      <c r="R6" s="123"/>
      <c r="U6" s="217" t="s">
        <v>309</v>
      </c>
      <c r="V6" s="203">
        <v>8</v>
      </c>
      <c r="W6" s="206">
        <v>9</v>
      </c>
    </row>
    <row r="7" spans="1:29" x14ac:dyDescent="0.25">
      <c r="A7" s="177" t="s">
        <v>19</v>
      </c>
      <c r="B7" s="32" t="s">
        <v>18</v>
      </c>
      <c r="C7" s="32"/>
      <c r="D7" s="32"/>
      <c r="E7" s="32"/>
      <c r="F7" s="33"/>
      <c r="I7" s="109">
        <v>5.5555555555555698E-2</v>
      </c>
      <c r="J7" s="110">
        <v>6.9444444444444406E-2</v>
      </c>
      <c r="K7" s="119"/>
      <c r="L7" s="91"/>
      <c r="M7" s="91">
        <v>4</v>
      </c>
      <c r="N7" s="120">
        <v>9</v>
      </c>
      <c r="O7" s="119"/>
      <c r="P7" s="91"/>
      <c r="Q7" s="91">
        <v>1</v>
      </c>
      <c r="R7" s="120"/>
      <c r="U7" s="217" t="s">
        <v>310</v>
      </c>
      <c r="V7" s="203">
        <v>1</v>
      </c>
      <c r="W7" s="206">
        <v>23</v>
      </c>
    </row>
    <row r="8" spans="1:29" x14ac:dyDescent="0.25">
      <c r="A8" s="31"/>
      <c r="B8" s="32"/>
      <c r="C8" s="32"/>
      <c r="D8" s="32"/>
      <c r="E8" s="32"/>
      <c r="F8" s="33"/>
      <c r="I8" s="124">
        <v>6.9444444444444406E-2</v>
      </c>
      <c r="J8" s="125">
        <v>8.3333333333333301E-2</v>
      </c>
      <c r="K8" s="126"/>
      <c r="L8" s="127"/>
      <c r="M8" s="127"/>
      <c r="N8" s="128"/>
      <c r="O8" s="126"/>
      <c r="P8" s="127"/>
      <c r="Q8" s="127"/>
      <c r="R8" s="128"/>
      <c r="U8" s="217" t="s">
        <v>311</v>
      </c>
      <c r="V8" s="203">
        <v>2024</v>
      </c>
      <c r="W8" s="206">
        <v>2027</v>
      </c>
    </row>
    <row r="9" spans="1:29" x14ac:dyDescent="0.25">
      <c r="A9" s="31"/>
      <c r="B9" s="32"/>
      <c r="C9" s="32"/>
      <c r="D9" s="32"/>
      <c r="E9" s="32"/>
      <c r="F9" s="33"/>
      <c r="I9" s="107">
        <v>8.3333333333333301E-2</v>
      </c>
      <c r="J9" s="108">
        <v>9.7222222222222196E-2</v>
      </c>
      <c r="K9" s="121">
        <v>6</v>
      </c>
      <c r="L9" s="122"/>
      <c r="M9" s="122"/>
      <c r="N9" s="123"/>
      <c r="O9" s="121"/>
      <c r="P9" s="122"/>
      <c r="Q9" s="122"/>
      <c r="R9" s="123"/>
      <c r="U9" s="217" t="s">
        <v>312</v>
      </c>
      <c r="V9" s="203">
        <v>4</v>
      </c>
      <c r="W9" s="206">
        <v>7</v>
      </c>
    </row>
    <row r="10" spans="1:29" x14ac:dyDescent="0.25">
      <c r="A10" s="31"/>
      <c r="B10" s="32"/>
      <c r="C10" s="32"/>
      <c r="D10" s="32"/>
      <c r="E10" s="32"/>
      <c r="F10" s="33"/>
      <c r="I10" s="109">
        <v>9.7222222222222196E-2</v>
      </c>
      <c r="J10" s="110">
        <v>0.11111111111111099</v>
      </c>
      <c r="K10" s="119"/>
      <c r="L10" s="91"/>
      <c r="M10" s="91">
        <v>6</v>
      </c>
      <c r="N10" s="120">
        <v>12</v>
      </c>
      <c r="O10" s="119"/>
      <c r="P10" s="91"/>
      <c r="Q10" s="91"/>
      <c r="R10" s="120">
        <v>2</v>
      </c>
      <c r="U10" s="217" t="s">
        <v>313</v>
      </c>
      <c r="V10" s="203">
        <v>5</v>
      </c>
      <c r="W10" s="206">
        <v>26</v>
      </c>
      <c r="Z10" t="s">
        <v>314</v>
      </c>
      <c r="AB10" t="s">
        <v>315</v>
      </c>
    </row>
    <row r="11" spans="1:29" x14ac:dyDescent="0.25">
      <c r="A11" s="31" t="s">
        <v>24</v>
      </c>
      <c r="B11" s="32" t="s">
        <v>20</v>
      </c>
      <c r="C11" s="32" t="s">
        <v>25</v>
      </c>
      <c r="D11" s="32" t="s">
        <v>22</v>
      </c>
      <c r="E11" s="32" t="s">
        <v>21</v>
      </c>
      <c r="F11" s="33"/>
      <c r="I11" s="109">
        <v>0.11111111111111099</v>
      </c>
      <c r="J11" s="110">
        <v>0.125</v>
      </c>
      <c r="K11" s="119">
        <v>5</v>
      </c>
      <c r="L11" s="91"/>
      <c r="M11" s="91"/>
      <c r="N11" s="120"/>
      <c r="O11" s="119"/>
      <c r="P11" s="91"/>
      <c r="Q11" s="91"/>
      <c r="R11" s="120"/>
      <c r="U11" s="217" t="s">
        <v>316</v>
      </c>
      <c r="V11" s="203">
        <f>DATEDIF(Z11,AA11,"d")</f>
        <v>613</v>
      </c>
      <c r="W11" s="207">
        <f>DATEDIF(AB11,AC11,"d")</f>
        <v>671</v>
      </c>
      <c r="Z11" s="208">
        <v>44774</v>
      </c>
      <c r="AA11" s="208">
        <v>45387</v>
      </c>
      <c r="AB11" s="208">
        <v>45923</v>
      </c>
      <c r="AC11" s="208">
        <v>46594</v>
      </c>
    </row>
    <row r="12" spans="1:29" x14ac:dyDescent="0.25">
      <c r="A12" s="31" t="s">
        <v>13</v>
      </c>
      <c r="B12" s="32">
        <v>6205</v>
      </c>
      <c r="C12" s="32">
        <v>76000</v>
      </c>
      <c r="D12" s="32">
        <v>649</v>
      </c>
      <c r="E12" s="32">
        <v>3</v>
      </c>
      <c r="F12" s="37">
        <f>E12/D12</f>
        <v>4.6224961479198771E-3</v>
      </c>
      <c r="I12" s="107">
        <v>0.125</v>
      </c>
      <c r="J12" s="108">
        <v>0.13888888888888901</v>
      </c>
      <c r="K12" s="121"/>
      <c r="L12" s="122"/>
      <c r="M12" s="122">
        <v>6</v>
      </c>
      <c r="N12" s="123">
        <v>6</v>
      </c>
      <c r="O12" s="121"/>
      <c r="P12" s="122"/>
      <c r="Q12" s="122">
        <v>1</v>
      </c>
      <c r="R12" s="123"/>
      <c r="U12" s="217" t="s">
        <v>317</v>
      </c>
      <c r="V12" s="203">
        <f>DATEDIF(Z12,AA12,"d")</f>
        <v>152</v>
      </c>
      <c r="W12" s="207">
        <v>0</v>
      </c>
      <c r="Y12">
        <v>1</v>
      </c>
      <c r="Z12" s="208">
        <v>44774</v>
      </c>
      <c r="AA12" s="208">
        <v>44926</v>
      </c>
    </row>
    <row r="13" spans="1:29" x14ac:dyDescent="0.25">
      <c r="A13" s="31" t="s">
        <v>259</v>
      </c>
      <c r="B13" s="32">
        <v>846</v>
      </c>
      <c r="C13" s="32">
        <v>49000</v>
      </c>
      <c r="D13" s="32">
        <v>66</v>
      </c>
      <c r="E13" s="32">
        <f>0.005*D13</f>
        <v>0.33</v>
      </c>
      <c r="F13" s="37">
        <f>E13/D13</f>
        <v>5.0000000000000001E-3</v>
      </c>
      <c r="I13" s="109">
        <v>0.13888888888888901</v>
      </c>
      <c r="J13" s="110">
        <v>0.15277777777777801</v>
      </c>
      <c r="K13" s="119">
        <v>5</v>
      </c>
      <c r="L13" s="91"/>
      <c r="M13" s="91"/>
      <c r="N13" s="120"/>
      <c r="O13" s="119"/>
      <c r="P13" s="91">
        <v>1</v>
      </c>
      <c r="Q13" s="91"/>
      <c r="R13" s="120"/>
      <c r="U13" s="217" t="s">
        <v>318</v>
      </c>
      <c r="V13" s="203">
        <v>365</v>
      </c>
      <c r="W13" s="207">
        <v>0</v>
      </c>
      <c r="Z13">
        <v>2023</v>
      </c>
    </row>
    <row r="14" spans="1:29" x14ac:dyDescent="0.25">
      <c r="A14" s="31" t="s">
        <v>23</v>
      </c>
      <c r="B14" s="32">
        <v>36096</v>
      </c>
      <c r="C14" s="32" t="s">
        <v>26</v>
      </c>
      <c r="D14" s="32">
        <v>3615</v>
      </c>
      <c r="E14" s="32">
        <v>33</v>
      </c>
      <c r="F14" s="37">
        <f>E14/D14</f>
        <v>9.1286307053941914E-3</v>
      </c>
      <c r="I14" s="109">
        <v>0.15277777777777801</v>
      </c>
      <c r="J14" s="110">
        <v>0.16666666666666666</v>
      </c>
      <c r="K14" s="119"/>
      <c r="L14" s="91"/>
      <c r="M14" s="91">
        <v>7</v>
      </c>
      <c r="N14" s="120">
        <v>4</v>
      </c>
      <c r="O14" s="119"/>
      <c r="P14" s="91"/>
      <c r="Q14" s="91"/>
      <c r="R14" s="120"/>
      <c r="U14" s="217" t="s">
        <v>319</v>
      </c>
      <c r="V14" s="203">
        <f>DATEDIF(Z16,AA16,"d")</f>
        <v>96</v>
      </c>
      <c r="W14" s="207">
        <v>0</v>
      </c>
      <c r="Y14">
        <v>2</v>
      </c>
      <c r="Z14" s="208">
        <v>44927</v>
      </c>
      <c r="AA14" s="208">
        <v>45291</v>
      </c>
    </row>
    <row r="15" spans="1:29" x14ac:dyDescent="0.25">
      <c r="A15" s="31"/>
      <c r="B15" s="32"/>
      <c r="C15" s="32"/>
      <c r="D15" s="32"/>
      <c r="E15" s="32"/>
      <c r="F15" s="33"/>
      <c r="I15" s="107">
        <v>0.16666666666666666</v>
      </c>
      <c r="J15" s="108">
        <v>0.18055555555555555</v>
      </c>
      <c r="K15" s="121">
        <v>4</v>
      </c>
      <c r="L15" s="122"/>
      <c r="M15" s="122"/>
      <c r="N15" s="123"/>
      <c r="O15" s="121"/>
      <c r="P15" s="122"/>
      <c r="Q15" s="122"/>
      <c r="R15" s="123"/>
      <c r="U15" s="217" t="s">
        <v>320</v>
      </c>
      <c r="V15" s="203">
        <v>0</v>
      </c>
      <c r="W15" s="206">
        <f>DATEDIF(AB18,AC18,"d")</f>
        <v>99</v>
      </c>
      <c r="Z15">
        <v>2024</v>
      </c>
    </row>
    <row r="16" spans="1:29" x14ac:dyDescent="0.25">
      <c r="A16" s="31"/>
      <c r="B16" s="38">
        <f>6205/36096</f>
        <v>0.17190270390070922</v>
      </c>
      <c r="C16" s="38"/>
      <c r="D16" s="38">
        <f>D12/D14</f>
        <v>0.17952973720608575</v>
      </c>
      <c r="E16" s="38">
        <f>E12/E14</f>
        <v>9.0909090909090912E-2</v>
      </c>
      <c r="F16" s="33"/>
      <c r="I16" s="109">
        <v>0.18055555555555555</v>
      </c>
      <c r="J16" s="110">
        <v>0.19444444444444445</v>
      </c>
      <c r="K16" s="119"/>
      <c r="L16" s="91"/>
      <c r="M16" s="91">
        <v>8</v>
      </c>
      <c r="N16" s="120">
        <v>6</v>
      </c>
      <c r="O16" s="119"/>
      <c r="P16" s="91"/>
      <c r="Q16" s="91"/>
      <c r="R16" s="120"/>
      <c r="U16" s="217" t="s">
        <v>321</v>
      </c>
      <c r="V16" s="203">
        <v>0</v>
      </c>
      <c r="W16" s="206">
        <v>365</v>
      </c>
      <c r="Y16">
        <v>3</v>
      </c>
      <c r="Z16" s="208">
        <v>45292</v>
      </c>
      <c r="AA16" s="208">
        <v>45388</v>
      </c>
    </row>
    <row r="17" spans="1:29" x14ac:dyDescent="0.25">
      <c r="A17" s="31"/>
      <c r="B17" s="38">
        <f>846/36096</f>
        <v>2.34375E-2</v>
      </c>
      <c r="C17" s="38"/>
      <c r="D17" s="38">
        <f>D13/D14</f>
        <v>1.8257261410788383E-2</v>
      </c>
      <c r="E17" s="38">
        <f>E13/E14</f>
        <v>0.01</v>
      </c>
      <c r="F17" s="33"/>
      <c r="I17" s="109">
        <v>0.19444444444444445</v>
      </c>
      <c r="J17" s="110">
        <v>0.20833333333333334</v>
      </c>
      <c r="K17" s="119">
        <v>3</v>
      </c>
      <c r="L17" s="91"/>
      <c r="M17" s="91"/>
      <c r="N17" s="120"/>
      <c r="O17" s="119"/>
      <c r="P17" s="91"/>
      <c r="Q17" s="91"/>
      <c r="R17" s="120"/>
      <c r="U17" s="217" t="s">
        <v>322</v>
      </c>
      <c r="V17" s="203">
        <v>0</v>
      </c>
      <c r="W17" s="206">
        <f>DATEDIF(AB22,AC22,"d")</f>
        <v>207</v>
      </c>
      <c r="Z17">
        <v>2025</v>
      </c>
    </row>
    <row r="18" spans="1:29" ht="15.75" thickBot="1" x14ac:dyDescent="0.3">
      <c r="A18" s="34" t="s">
        <v>27</v>
      </c>
      <c r="B18" s="39"/>
      <c r="C18" s="39"/>
      <c r="D18" s="39"/>
      <c r="E18" s="35"/>
      <c r="F18" s="36"/>
      <c r="I18" s="107">
        <v>0.20833333333333334</v>
      </c>
      <c r="J18" s="108">
        <v>0.22222222222222199</v>
      </c>
      <c r="K18" s="121"/>
      <c r="L18" s="122"/>
      <c r="M18" s="122">
        <v>5</v>
      </c>
      <c r="N18" s="123">
        <v>10</v>
      </c>
      <c r="O18" s="121"/>
      <c r="P18" s="122"/>
      <c r="Q18" s="122"/>
      <c r="R18" s="123"/>
      <c r="U18" s="217" t="s">
        <v>323</v>
      </c>
      <c r="V18" s="241">
        <f>V12/V11</f>
        <v>0.24796084828711257</v>
      </c>
      <c r="W18" s="242">
        <f>W12/W11</f>
        <v>0</v>
      </c>
      <c r="Y18">
        <v>4</v>
      </c>
      <c r="Z18" s="208"/>
      <c r="AA18" s="208"/>
      <c r="AB18" s="208">
        <v>45923</v>
      </c>
      <c r="AC18" s="208">
        <v>46022</v>
      </c>
    </row>
    <row r="19" spans="1:29" x14ac:dyDescent="0.25">
      <c r="I19" s="109">
        <v>0.22222222222222199</v>
      </c>
      <c r="J19" s="110">
        <v>0.23611111111111099</v>
      </c>
      <c r="K19" s="119">
        <v>6</v>
      </c>
      <c r="L19" s="91">
        <v>2</v>
      </c>
      <c r="M19" s="91"/>
      <c r="N19" s="120"/>
      <c r="O19" s="119"/>
      <c r="P19" s="91"/>
      <c r="Q19" s="91"/>
      <c r="R19" s="120"/>
      <c r="U19" s="217" t="s">
        <v>324</v>
      </c>
      <c r="V19" s="241">
        <f>V13/V11</f>
        <v>0.59543230016313209</v>
      </c>
      <c r="W19" s="242">
        <f>W13/W11</f>
        <v>0</v>
      </c>
      <c r="Z19">
        <v>2026</v>
      </c>
    </row>
    <row r="20" spans="1:29" ht="15.75" thickBot="1" x14ac:dyDescent="0.3">
      <c r="I20" s="111">
        <v>0.23611111111111099</v>
      </c>
      <c r="J20" s="112">
        <v>0.25</v>
      </c>
      <c r="K20" s="113"/>
      <c r="L20" s="114"/>
      <c r="M20" s="114">
        <v>12</v>
      </c>
      <c r="N20" s="115">
        <v>26</v>
      </c>
      <c r="O20" s="113"/>
      <c r="P20" s="114"/>
      <c r="Q20" s="114"/>
      <c r="R20" s="115"/>
      <c r="U20" s="217" t="s">
        <v>325</v>
      </c>
      <c r="V20" s="241">
        <f>V14/V11</f>
        <v>0.15660685154975529</v>
      </c>
      <c r="W20" s="242">
        <f>W14/W11</f>
        <v>0</v>
      </c>
      <c r="Y20">
        <v>5</v>
      </c>
      <c r="AB20" s="208">
        <v>46023</v>
      </c>
      <c r="AC20" s="208">
        <v>46387</v>
      </c>
    </row>
    <row r="21" spans="1:29" x14ac:dyDescent="0.25">
      <c r="A21" s="28" t="s">
        <v>53</v>
      </c>
      <c r="B21" s="29"/>
      <c r="C21" s="29"/>
      <c r="D21" s="30"/>
      <c r="K21" s="71">
        <f>SUM(K3:K20)</f>
        <v>37</v>
      </c>
      <c r="L21" s="157">
        <f t="shared" ref="L21:R21" si="0">SUM(L3:L20)</f>
        <v>5</v>
      </c>
      <c r="M21" s="157">
        <f t="shared" si="0"/>
        <v>49</v>
      </c>
      <c r="N21" s="71">
        <f t="shared" si="0"/>
        <v>94</v>
      </c>
      <c r="O21" s="71">
        <f t="shared" si="0"/>
        <v>1</v>
      </c>
      <c r="P21" s="157">
        <f t="shared" si="0"/>
        <v>3</v>
      </c>
      <c r="Q21" s="157">
        <f t="shared" si="0"/>
        <v>3</v>
      </c>
      <c r="R21" s="71">
        <f t="shared" si="0"/>
        <v>2</v>
      </c>
      <c r="U21" s="217" t="s">
        <v>326</v>
      </c>
      <c r="V21" s="241">
        <f>V15/V11</f>
        <v>0</v>
      </c>
      <c r="W21" s="242">
        <f>W15/W11</f>
        <v>0.14754098360655737</v>
      </c>
      <c r="Z21">
        <v>2027</v>
      </c>
    </row>
    <row r="22" spans="1:29" x14ac:dyDescent="0.25">
      <c r="A22" s="31"/>
      <c r="B22" s="32"/>
      <c r="C22" s="32" t="s">
        <v>2</v>
      </c>
      <c r="D22" s="33"/>
      <c r="M22">
        <v>54</v>
      </c>
      <c r="Q22">
        <v>6</v>
      </c>
      <c r="U22" s="217" t="s">
        <v>327</v>
      </c>
      <c r="V22" s="241">
        <f>V16/V11</f>
        <v>0</v>
      </c>
      <c r="W22" s="242">
        <f>W16/W11</f>
        <v>0.54396423248882264</v>
      </c>
      <c r="Y22">
        <v>6</v>
      </c>
      <c r="AB22" s="208">
        <v>46388</v>
      </c>
      <c r="AC22" s="208">
        <v>46595</v>
      </c>
    </row>
    <row r="23" spans="1:29" x14ac:dyDescent="0.25">
      <c r="A23" s="31" t="s">
        <v>0</v>
      </c>
      <c r="B23" s="32" t="s">
        <v>3</v>
      </c>
      <c r="C23" s="32">
        <v>7.08</v>
      </c>
      <c r="D23" s="33"/>
      <c r="M23">
        <f>M22*2</f>
        <v>108</v>
      </c>
      <c r="N23" t="s">
        <v>379</v>
      </c>
      <c r="Q23">
        <f>Q22*2</f>
        <v>12</v>
      </c>
      <c r="R23" t="s">
        <v>380</v>
      </c>
      <c r="U23" s="217" t="s">
        <v>328</v>
      </c>
      <c r="V23" s="241">
        <f>V17/V11</f>
        <v>0</v>
      </c>
      <c r="W23" s="242">
        <f>W17/W11</f>
        <v>0.30849478390461998</v>
      </c>
    </row>
    <row r="24" spans="1:29" ht="15.75" thickBot="1" x14ac:dyDescent="0.3">
      <c r="A24" s="34" t="s">
        <v>1</v>
      </c>
      <c r="B24" s="35" t="s">
        <v>4</v>
      </c>
      <c r="C24" s="35">
        <v>6.31</v>
      </c>
      <c r="D24" s="36"/>
      <c r="T24">
        <v>2022</v>
      </c>
      <c r="U24" s="217" t="s">
        <v>329</v>
      </c>
      <c r="V24" s="204">
        <f>V18*Y34</f>
        <v>274066.2548586005</v>
      </c>
      <c r="W24" s="205">
        <f>W18*Y35</f>
        <v>0</v>
      </c>
    </row>
    <row r="25" spans="1:29" x14ac:dyDescent="0.25">
      <c r="I25" t="s">
        <v>248</v>
      </c>
      <c r="J25" t="s">
        <v>244</v>
      </c>
      <c r="K25" t="s">
        <v>245</v>
      </c>
      <c r="L25" t="s">
        <v>246</v>
      </c>
      <c r="M25" t="s">
        <v>247</v>
      </c>
      <c r="N25" t="s">
        <v>299</v>
      </c>
      <c r="O25" t="s">
        <v>300</v>
      </c>
      <c r="P25" t="s">
        <v>301</v>
      </c>
      <c r="Q25" t="s">
        <v>302</v>
      </c>
      <c r="R25" t="s">
        <v>346</v>
      </c>
      <c r="T25">
        <v>2023</v>
      </c>
      <c r="U25" s="217" t="s">
        <v>330</v>
      </c>
      <c r="V25" s="204">
        <f>V19*Y34</f>
        <v>658119.62515387614</v>
      </c>
      <c r="W25" s="205">
        <f>W19*Y35</f>
        <v>0</v>
      </c>
      <c r="Y25" t="s">
        <v>358</v>
      </c>
    </row>
    <row r="26" spans="1:29" x14ac:dyDescent="0.25">
      <c r="H26" t="s">
        <v>243</v>
      </c>
      <c r="I26" s="69">
        <v>12595</v>
      </c>
      <c r="J26" s="69">
        <v>3</v>
      </c>
      <c r="K26" s="69">
        <f>I26*J26</f>
        <v>37785</v>
      </c>
      <c r="L26">
        <v>377</v>
      </c>
      <c r="M26">
        <v>3.35</v>
      </c>
      <c r="N26" s="69">
        <v>3</v>
      </c>
      <c r="O26" s="69">
        <v>2</v>
      </c>
      <c r="P26" s="10">
        <f>N26/L26</f>
        <v>7.9575596816976128E-3</v>
      </c>
      <c r="Q26" s="10">
        <f>O26/L26</f>
        <v>5.3050397877984082E-3</v>
      </c>
      <c r="R26" s="221">
        <f>377/8</f>
        <v>47.125</v>
      </c>
      <c r="T26">
        <v>2024</v>
      </c>
      <c r="U26" s="217" t="s">
        <v>331</v>
      </c>
      <c r="V26" s="204">
        <f>V20*Y34</f>
        <v>173094.47675280028</v>
      </c>
      <c r="W26" s="205">
        <f>W20*Y35</f>
        <v>0</v>
      </c>
      <c r="Y26">
        <v>1150000</v>
      </c>
      <c r="Z26" t="s">
        <v>336</v>
      </c>
    </row>
    <row r="27" spans="1:29" x14ac:dyDescent="0.25">
      <c r="H27" t="s">
        <v>298</v>
      </c>
      <c r="T27">
        <v>2025</v>
      </c>
      <c r="U27" s="217" t="s">
        <v>332</v>
      </c>
      <c r="V27" s="204">
        <f>V21*Y34</f>
        <v>0</v>
      </c>
      <c r="W27" s="205">
        <f>W21*Y35</f>
        <v>2005194.0771468359</v>
      </c>
      <c r="Y27" s="237">
        <v>14140642</v>
      </c>
      <c r="Z27" t="s">
        <v>335</v>
      </c>
    </row>
    <row r="28" spans="1:29" ht="38.25" x14ac:dyDescent="0.25">
      <c r="A28" s="158"/>
      <c r="B28" s="159" t="s">
        <v>252</v>
      </c>
      <c r="C28" s="159" t="s">
        <v>34</v>
      </c>
      <c r="D28" s="160" t="s">
        <v>253</v>
      </c>
      <c r="T28">
        <v>2026</v>
      </c>
      <c r="U28" s="217" t="s">
        <v>333</v>
      </c>
      <c r="V28" s="204">
        <f>V22*Y34</f>
        <v>0</v>
      </c>
      <c r="W28" s="205">
        <f>W22*Y35</f>
        <v>7392887.254127223</v>
      </c>
    </row>
    <row r="29" spans="1:29" x14ac:dyDescent="0.25">
      <c r="A29" s="158" t="s">
        <v>254</v>
      </c>
      <c r="B29" s="158" t="s">
        <v>38</v>
      </c>
      <c r="C29" s="158">
        <f>2</f>
        <v>2</v>
      </c>
      <c r="D29" s="158">
        <f>2</f>
        <v>2</v>
      </c>
      <c r="H29" t="s">
        <v>251</v>
      </c>
      <c r="I29" t="s">
        <v>108</v>
      </c>
      <c r="J29" t="s">
        <v>250</v>
      </c>
      <c r="T29">
        <v>2027</v>
      </c>
      <c r="U29" s="217" t="s">
        <v>334</v>
      </c>
      <c r="V29" s="204">
        <f>V23*Y34</f>
        <v>0</v>
      </c>
      <c r="W29" s="205">
        <f>W23*Y35</f>
        <v>4192678.5249433843</v>
      </c>
      <c r="Y29" s="237"/>
    </row>
    <row r="30" spans="1:29" ht="15.75" thickBot="1" x14ac:dyDescent="0.3">
      <c r="A30" s="158" t="s">
        <v>255</v>
      </c>
      <c r="B30" s="158">
        <f>3</f>
        <v>3</v>
      </c>
      <c r="C30" s="158" t="s">
        <v>38</v>
      </c>
      <c r="D30" s="158" t="s">
        <v>38</v>
      </c>
      <c r="H30" t="s">
        <v>249</v>
      </c>
      <c r="I30">
        <f>(9.71+10.8)/2</f>
        <v>10.255000000000001</v>
      </c>
      <c r="U30" s="218" t="s">
        <v>304</v>
      </c>
      <c r="V30" s="209">
        <f>SUM(V24:V29)</f>
        <v>1105280.3567652768</v>
      </c>
      <c r="W30" s="210">
        <f>SUM(W24:W29)</f>
        <v>13590759.856217444</v>
      </c>
      <c r="Y30" s="237"/>
    </row>
    <row r="31" spans="1:29" x14ac:dyDescent="0.25">
      <c r="A31" t="s">
        <v>352</v>
      </c>
      <c r="H31" t="s">
        <v>337</v>
      </c>
      <c r="U31" s="70"/>
      <c r="V31" s="211"/>
      <c r="W31" s="211"/>
    </row>
    <row r="33" spans="1:26" x14ac:dyDescent="0.25">
      <c r="H33" s="283"/>
      <c r="X33" t="s">
        <v>381</v>
      </c>
      <c r="Y33" t="s">
        <v>373</v>
      </c>
    </row>
    <row r="34" spans="1:26" x14ac:dyDescent="0.25">
      <c r="A34" t="s">
        <v>351</v>
      </c>
      <c r="B34" t="s">
        <v>350</v>
      </c>
      <c r="Y34" s="237">
        <f>Y26/'General Inputs'!D14</f>
        <v>1105280.356765277</v>
      </c>
      <c r="Z34" t="s">
        <v>336</v>
      </c>
    </row>
    <row r="35" spans="1:26" x14ac:dyDescent="0.25">
      <c r="Y35" s="237">
        <f>Y27/'General Inputs'!D14</f>
        <v>13590759.856217444</v>
      </c>
      <c r="Z35" t="s">
        <v>335</v>
      </c>
    </row>
  </sheetData>
  <mergeCells count="3">
    <mergeCell ref="K1:N1"/>
    <mergeCell ref="O1:R1"/>
    <mergeCell ref="U2:W2"/>
  </mergeCells>
  <pageMargins left="0.7" right="0.7" top="0.75" bottom="0.75" header="0.3" footer="0.3"/>
  <pageSetup scale="27"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General Inputs</vt:lpstr>
      <vt:lpstr>Results</vt:lpstr>
      <vt:lpstr>Accident Impacts (Calc3)</vt:lpstr>
      <vt:lpstr>Recreational Benefits</vt:lpstr>
      <vt:lpstr>Health Benefits</vt:lpstr>
      <vt:lpstr>Ped Facility Benefits</vt:lpstr>
      <vt:lpstr>CycFac Benefits</vt:lpstr>
      <vt:lpstr>Project Costs</vt:lpstr>
      <vt:lpstr>notes info</vt:lpstr>
      <vt:lpstr>CMF StarRated</vt:lpstr>
      <vt:lpstr>TDC PopProj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 Michele A.</dc:creator>
  <cp:lastModifiedBy>McCullough, Kirsten J.</cp:lastModifiedBy>
  <cp:lastPrinted>2022-03-27T22:56:16Z</cp:lastPrinted>
  <dcterms:created xsi:type="dcterms:W3CDTF">2022-03-22T13:53:29Z</dcterms:created>
  <dcterms:modified xsi:type="dcterms:W3CDTF">2022-04-13T00:06:32Z</dcterms:modified>
</cp:coreProperties>
</file>